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kuran_000\Desktop\CMA\検証データ\Engulfing Bar\GBPJPY\"/>
    </mc:Choice>
  </mc:AlternateContent>
  <bookViews>
    <workbookView xWindow="0" yWindow="0" windowWidth="15345" windowHeight="4650" activeTab="3"/>
  </bookViews>
  <sheets>
    <sheet name="データ" sheetId="5" r:id="rId1"/>
    <sheet name="データ (買い増し有)" sheetId="12" r:id="rId2"/>
    <sheet name="画像" sheetId="11" r:id="rId3"/>
    <sheet name="気づき" sheetId="10" r:id="rId4"/>
    <sheet name="検証終了通貨" sheetId="9" r:id="rId5"/>
  </sheets>
  <definedNames>
    <definedName name="_xlnm._FilterDatabase" localSheetId="0" hidden="1">データ!$A$10:$U$287</definedName>
    <definedName name="_xlnm._FilterDatabase" localSheetId="1" hidden="1">'データ (買い増し有)'!$A$10:$U$332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1" i="12" l="1"/>
  <c r="S11" i="5"/>
  <c r="S15" i="12"/>
  <c r="S16" i="12"/>
  <c r="S17" i="12"/>
  <c r="S18" i="12"/>
  <c r="S19" i="12"/>
  <c r="S20" i="12"/>
  <c r="S21" i="12"/>
  <c r="S22" i="12"/>
  <c r="S23" i="12"/>
  <c r="S24" i="12"/>
  <c r="S25" i="12"/>
  <c r="S26" i="12"/>
  <c r="S28" i="12"/>
  <c r="S29" i="12"/>
  <c r="S30" i="12"/>
  <c r="S31" i="12"/>
  <c r="S32" i="12"/>
  <c r="S33" i="12"/>
  <c r="S34" i="12"/>
  <c r="S35" i="12"/>
  <c r="S36" i="12"/>
  <c r="S37" i="12"/>
  <c r="S39" i="12"/>
  <c r="S40" i="12"/>
  <c r="S41" i="12"/>
  <c r="S42" i="12"/>
  <c r="S43" i="12"/>
  <c r="S44" i="12"/>
  <c r="S45" i="12"/>
  <c r="S46" i="12"/>
  <c r="S47" i="12"/>
  <c r="S48" i="12"/>
  <c r="S49" i="12"/>
  <c r="S50" i="12"/>
  <c r="S52" i="12"/>
  <c r="S53" i="12"/>
  <c r="S54" i="12"/>
  <c r="S55" i="12"/>
  <c r="S56" i="12"/>
  <c r="S57" i="12"/>
  <c r="S58" i="12"/>
  <c r="S59" i="12"/>
  <c r="S60" i="12"/>
  <c r="S61" i="12"/>
  <c r="S62" i="12"/>
  <c r="S63" i="12"/>
  <c r="S64" i="12"/>
  <c r="S65" i="12"/>
  <c r="S67" i="12"/>
  <c r="S68" i="12"/>
  <c r="S69" i="12"/>
  <c r="S70" i="12"/>
  <c r="S71" i="12"/>
  <c r="S72" i="12"/>
  <c r="S73" i="12"/>
  <c r="S74" i="12"/>
  <c r="S75" i="12"/>
  <c r="S76" i="12"/>
  <c r="S77" i="12"/>
  <c r="S78" i="12"/>
  <c r="S79" i="12"/>
  <c r="S80" i="12"/>
  <c r="S82" i="12"/>
  <c r="S83" i="12"/>
  <c r="S84" i="12"/>
  <c r="S85" i="12"/>
  <c r="S86" i="12"/>
  <c r="S87" i="12"/>
  <c r="S88" i="12"/>
  <c r="S89" i="12"/>
  <c r="S90" i="12"/>
  <c r="S91" i="12"/>
  <c r="S92" i="12"/>
  <c r="S93" i="12"/>
  <c r="S95" i="12"/>
  <c r="S96" i="12"/>
  <c r="S97" i="12"/>
  <c r="S98" i="12"/>
  <c r="S99" i="12"/>
  <c r="S100" i="12"/>
  <c r="S101" i="12"/>
  <c r="S102" i="12"/>
  <c r="S103" i="12"/>
  <c r="S104" i="12"/>
  <c r="S105" i="12"/>
  <c r="S106" i="12"/>
  <c r="S107" i="12"/>
  <c r="S108" i="12"/>
  <c r="S109" i="12"/>
  <c r="S110" i="12"/>
  <c r="S111" i="12"/>
  <c r="S112" i="12"/>
  <c r="S113" i="12"/>
  <c r="S114" i="12"/>
  <c r="S116" i="12"/>
  <c r="S117" i="12"/>
  <c r="S118" i="12"/>
  <c r="S119" i="12"/>
  <c r="S120" i="12"/>
  <c r="S121" i="12"/>
  <c r="S122" i="12"/>
  <c r="S123" i="12"/>
  <c r="S124" i="12"/>
  <c r="S125" i="12"/>
  <c r="S126" i="12"/>
  <c r="S127" i="12"/>
  <c r="S128" i="12"/>
  <c r="S129" i="12"/>
  <c r="S131" i="12"/>
  <c r="S132" i="12"/>
  <c r="S133" i="12"/>
  <c r="S134" i="12"/>
  <c r="S135" i="12"/>
  <c r="S136" i="12"/>
  <c r="S137" i="12"/>
  <c r="S138" i="12"/>
  <c r="S139" i="12"/>
  <c r="S140" i="12"/>
  <c r="S141" i="12"/>
  <c r="S142" i="12"/>
  <c r="S143" i="12"/>
  <c r="S144" i="12"/>
  <c r="S145" i="12"/>
  <c r="S146" i="12"/>
  <c r="S148" i="12"/>
  <c r="S149" i="12"/>
  <c r="S150" i="12"/>
  <c r="S151" i="12"/>
  <c r="S152" i="12"/>
  <c r="S153" i="12"/>
  <c r="S154" i="12"/>
  <c r="S155" i="12"/>
  <c r="S156" i="12"/>
  <c r="S157" i="12"/>
  <c r="S158" i="12"/>
  <c r="S159" i="12"/>
  <c r="S160" i="12"/>
  <c r="S161" i="12"/>
  <c r="S162" i="12"/>
  <c r="S163" i="12"/>
  <c r="S164" i="12"/>
  <c r="S165" i="12"/>
  <c r="S167" i="12"/>
  <c r="S168" i="12"/>
  <c r="S169" i="12"/>
  <c r="S170" i="12"/>
  <c r="S171" i="12"/>
  <c r="S172" i="12"/>
  <c r="S173" i="12"/>
  <c r="S14" i="12"/>
  <c r="S12" i="12"/>
  <c r="S12" i="5"/>
  <c r="S15" i="5"/>
  <c r="S16" i="5"/>
  <c r="S17" i="5"/>
  <c r="S18" i="5"/>
  <c r="S19" i="5"/>
  <c r="S20" i="5"/>
  <c r="S21" i="5"/>
  <c r="S22" i="5"/>
  <c r="S23" i="5"/>
  <c r="S24" i="5"/>
  <c r="S25" i="5"/>
  <c r="S26" i="5"/>
  <c r="S28" i="5"/>
  <c r="S29" i="5"/>
  <c r="S30" i="5"/>
  <c r="S31" i="5"/>
  <c r="S32" i="5"/>
  <c r="S33" i="5"/>
  <c r="S34" i="5"/>
  <c r="S35" i="5"/>
  <c r="S36" i="5"/>
  <c r="S37" i="5"/>
  <c r="S39" i="5"/>
  <c r="S40" i="5"/>
  <c r="S41" i="5"/>
  <c r="S42" i="5"/>
  <c r="S43" i="5"/>
  <c r="S44" i="5"/>
  <c r="S45" i="5"/>
  <c r="S46" i="5"/>
  <c r="S47" i="5"/>
  <c r="S49" i="5"/>
  <c r="S50" i="5"/>
  <c r="S51" i="5"/>
  <c r="S52" i="5"/>
  <c r="S53" i="5"/>
  <c r="S54" i="5"/>
  <c r="S56" i="5"/>
  <c r="S57" i="5"/>
  <c r="S58" i="5"/>
  <c r="S59" i="5"/>
  <c r="S60" i="5"/>
  <c r="S61" i="5"/>
  <c r="S62" i="5"/>
  <c r="S63" i="5"/>
  <c r="S65" i="5"/>
  <c r="S66" i="5"/>
  <c r="S67" i="5"/>
  <c r="S68" i="5"/>
  <c r="S69" i="5"/>
  <c r="S70" i="5"/>
  <c r="S71" i="5"/>
  <c r="S72" i="5"/>
  <c r="S73" i="5"/>
  <c r="S75" i="5"/>
  <c r="S76" i="5"/>
  <c r="S77" i="5"/>
  <c r="S78" i="5"/>
  <c r="S79" i="5"/>
  <c r="S80" i="5"/>
  <c r="S81" i="5"/>
  <c r="S82" i="5"/>
  <c r="S83" i="5"/>
  <c r="S84" i="5"/>
  <c r="S85" i="5"/>
  <c r="S86" i="5"/>
  <c r="S88" i="5"/>
  <c r="S89" i="5"/>
  <c r="S90" i="5"/>
  <c r="S91" i="5"/>
  <c r="S92" i="5"/>
  <c r="S93" i="5"/>
  <c r="S94" i="5"/>
  <c r="S95" i="5"/>
  <c r="S96" i="5"/>
  <c r="S98" i="5"/>
  <c r="S99" i="5"/>
  <c r="S100" i="5"/>
  <c r="S101" i="5"/>
  <c r="S102" i="5"/>
  <c r="S103" i="5"/>
  <c r="S104" i="5"/>
  <c r="S105" i="5"/>
  <c r="S106" i="5"/>
  <c r="S108" i="5"/>
  <c r="S109" i="5"/>
  <c r="S110" i="5"/>
  <c r="S111" i="5"/>
  <c r="S112" i="5"/>
  <c r="S113" i="5"/>
  <c r="S114" i="5"/>
  <c r="S115" i="5"/>
  <c r="S116" i="5"/>
  <c r="S117" i="5"/>
  <c r="S118" i="5"/>
  <c r="S119" i="5"/>
  <c r="S120" i="5"/>
  <c r="S121" i="5"/>
  <c r="S122" i="5"/>
  <c r="S123" i="5"/>
  <c r="S124" i="5"/>
  <c r="S126" i="5"/>
  <c r="S127" i="5"/>
  <c r="S128" i="5"/>
  <c r="S14" i="5"/>
  <c r="R63" i="5"/>
  <c r="R72" i="5"/>
  <c r="R82" i="5"/>
  <c r="R95" i="5"/>
  <c r="R115" i="5"/>
  <c r="R122" i="5"/>
  <c r="R162" i="12"/>
  <c r="R155" i="12"/>
  <c r="R137" i="12"/>
  <c r="R124" i="12"/>
  <c r="R103" i="12"/>
  <c r="R93" i="12"/>
  <c r="R80" i="12"/>
  <c r="R159" i="12"/>
  <c r="R5" i="12"/>
  <c r="R5" i="5"/>
  <c r="Q5" i="12" l="1"/>
  <c r="P5" i="12"/>
  <c r="Q124" i="5"/>
  <c r="Q123" i="5"/>
  <c r="Q122" i="5"/>
  <c r="Q121" i="5"/>
  <c r="Q106" i="5"/>
  <c r="Q105" i="5"/>
  <c r="Q104" i="5"/>
  <c r="Q103" i="5"/>
  <c r="Q96" i="5"/>
  <c r="Q95" i="5" s="1"/>
  <c r="Q94" i="5"/>
  <c r="Q93" i="5"/>
  <c r="Q86" i="5"/>
  <c r="Q85" i="5"/>
  <c r="Q84" i="5"/>
  <c r="Q83" i="5"/>
  <c r="Q73" i="5"/>
  <c r="Q72" i="5"/>
  <c r="Q71" i="5"/>
  <c r="Q70" i="5"/>
  <c r="Q63" i="5"/>
  <c r="Q62" i="5" s="1"/>
  <c r="Q61" i="5"/>
  <c r="Q60" i="5"/>
  <c r="Q54" i="5"/>
  <c r="Q53" i="5" s="1"/>
  <c r="Q52" i="5"/>
  <c r="Q51" i="5"/>
  <c r="Q47" i="5"/>
  <c r="Q46" i="5" s="1"/>
  <c r="Q45" i="5"/>
  <c r="Q44" i="5"/>
  <c r="Q37" i="5"/>
  <c r="Q36" i="5"/>
  <c r="Q35" i="5"/>
  <c r="Q34" i="5"/>
  <c r="Q26" i="5"/>
  <c r="Q25" i="5"/>
  <c r="Q24" i="5"/>
  <c r="Q23" i="5"/>
  <c r="C129" i="5"/>
  <c r="C128" i="5"/>
  <c r="N124" i="5"/>
  <c r="N108" i="5"/>
  <c r="C110" i="5" s="1"/>
  <c r="C108" i="5"/>
  <c r="C101" i="5"/>
  <c r="N98" i="5"/>
  <c r="C98" i="5"/>
  <c r="N93" i="5"/>
  <c r="C93" i="5"/>
  <c r="C80" i="5"/>
  <c r="N77" i="5"/>
  <c r="N75" i="5"/>
  <c r="N69" i="5"/>
  <c r="C69" i="5"/>
  <c r="N59" i="5"/>
  <c r="C58" i="5"/>
  <c r="C57" i="5"/>
  <c r="C56" i="5"/>
  <c r="N51" i="5"/>
  <c r="N50" i="5"/>
  <c r="N49" i="5"/>
  <c r="N39" i="5"/>
  <c r="J53" i="5"/>
  <c r="L53" i="5"/>
  <c r="C14" i="5"/>
  <c r="L174" i="12"/>
  <c r="J174" i="12"/>
  <c r="L173" i="12"/>
  <c r="J173" i="12"/>
  <c r="O172" i="12"/>
  <c r="L172" i="12"/>
  <c r="M172" i="12" s="1"/>
  <c r="J172" i="12"/>
  <c r="O171" i="12"/>
  <c r="L171" i="12"/>
  <c r="M171" i="12" s="1"/>
  <c r="J171" i="12"/>
  <c r="O170" i="12"/>
  <c r="L170" i="12"/>
  <c r="M170" i="12" s="1"/>
  <c r="J170" i="12"/>
  <c r="O169" i="12"/>
  <c r="L169" i="12"/>
  <c r="M169" i="12" s="1"/>
  <c r="J169" i="12"/>
  <c r="O168" i="12"/>
  <c r="L168" i="12"/>
  <c r="M168" i="12" s="1"/>
  <c r="J168" i="12"/>
  <c r="O167" i="12"/>
  <c r="Q170" i="12" s="1"/>
  <c r="L167" i="12"/>
  <c r="M167" i="12" s="1"/>
  <c r="J167" i="12"/>
  <c r="O165" i="12"/>
  <c r="M165" i="12"/>
  <c r="L165" i="12"/>
  <c r="J165" i="12"/>
  <c r="O164" i="12"/>
  <c r="L164" i="12"/>
  <c r="M164" i="12" s="1"/>
  <c r="J164" i="12"/>
  <c r="O163" i="12"/>
  <c r="L163" i="12"/>
  <c r="M163" i="12" s="1"/>
  <c r="J163" i="12"/>
  <c r="L162" i="12"/>
  <c r="J162" i="12"/>
  <c r="L161" i="12"/>
  <c r="J161" i="12"/>
  <c r="L160" i="12"/>
  <c r="J160" i="12"/>
  <c r="L159" i="12"/>
  <c r="J159" i="12"/>
  <c r="O158" i="12"/>
  <c r="L158" i="12"/>
  <c r="M158" i="12" s="1"/>
  <c r="J158" i="12"/>
  <c r="L157" i="12"/>
  <c r="M157" i="12" s="1"/>
  <c r="J157" i="12"/>
  <c r="O156" i="12"/>
  <c r="L156" i="12"/>
  <c r="M156" i="12" s="1"/>
  <c r="J156" i="12"/>
  <c r="L155" i="12"/>
  <c r="J155" i="12"/>
  <c r="L154" i="12"/>
  <c r="J154" i="12"/>
  <c r="L153" i="12"/>
  <c r="J153" i="12"/>
  <c r="O152" i="12"/>
  <c r="L152" i="12"/>
  <c r="M152" i="12" s="1"/>
  <c r="J152" i="12"/>
  <c r="O151" i="12"/>
  <c r="L151" i="12"/>
  <c r="M151" i="12" s="1"/>
  <c r="J151" i="12"/>
  <c r="O150" i="12"/>
  <c r="L150" i="12"/>
  <c r="M150" i="12" s="1"/>
  <c r="J150" i="12"/>
  <c r="O149" i="12"/>
  <c r="L149" i="12"/>
  <c r="M149" i="12" s="1"/>
  <c r="J149" i="12"/>
  <c r="L148" i="12"/>
  <c r="J148" i="12"/>
  <c r="O146" i="12"/>
  <c r="L146" i="12"/>
  <c r="M146" i="12" s="1"/>
  <c r="J146" i="12"/>
  <c r="O145" i="12"/>
  <c r="L145" i="12"/>
  <c r="M145" i="12" s="1"/>
  <c r="J145" i="12"/>
  <c r="O144" i="12"/>
  <c r="L144" i="12"/>
  <c r="M144" i="12" s="1"/>
  <c r="J144" i="12"/>
  <c r="O143" i="12"/>
  <c r="L143" i="12"/>
  <c r="M143" i="12" s="1"/>
  <c r="J143" i="12"/>
  <c r="O142" i="12"/>
  <c r="L142" i="12"/>
  <c r="M142" i="12" s="1"/>
  <c r="J142" i="12"/>
  <c r="L141" i="12"/>
  <c r="J141" i="12"/>
  <c r="O140" i="12"/>
  <c r="L140" i="12"/>
  <c r="M140" i="12" s="1"/>
  <c r="J140" i="12"/>
  <c r="O139" i="12"/>
  <c r="L139" i="12"/>
  <c r="M139" i="12" s="1"/>
  <c r="J139" i="12"/>
  <c r="L138" i="12"/>
  <c r="J138" i="12"/>
  <c r="O137" i="12"/>
  <c r="L137" i="12"/>
  <c r="M137" i="12" s="1"/>
  <c r="J137" i="12"/>
  <c r="L136" i="12"/>
  <c r="J136" i="12"/>
  <c r="L135" i="12"/>
  <c r="J135" i="12"/>
  <c r="O134" i="12"/>
  <c r="M134" i="12"/>
  <c r="L134" i="12"/>
  <c r="J134" i="12"/>
  <c r="O133" i="12"/>
  <c r="L133" i="12"/>
  <c r="M133" i="12" s="1"/>
  <c r="J133" i="12"/>
  <c r="L132" i="12"/>
  <c r="J132" i="12"/>
  <c r="O131" i="12"/>
  <c r="L131" i="12"/>
  <c r="M131" i="12" s="1"/>
  <c r="J131" i="12"/>
  <c r="O129" i="12"/>
  <c r="L129" i="12"/>
  <c r="M129" i="12" s="1"/>
  <c r="J129" i="12"/>
  <c r="L128" i="12"/>
  <c r="J128" i="12"/>
  <c r="O127" i="12"/>
  <c r="L127" i="12"/>
  <c r="M127" i="12" s="1"/>
  <c r="J127" i="12"/>
  <c r="L126" i="12"/>
  <c r="J126" i="12"/>
  <c r="O125" i="12"/>
  <c r="L125" i="12"/>
  <c r="M125" i="12" s="1"/>
  <c r="J125" i="12"/>
  <c r="L124" i="12"/>
  <c r="J124" i="12"/>
  <c r="L123" i="12"/>
  <c r="J123" i="12"/>
  <c r="L122" i="12"/>
  <c r="J122" i="12"/>
  <c r="O121" i="12"/>
  <c r="L121" i="12"/>
  <c r="M121" i="12" s="1"/>
  <c r="J121" i="12"/>
  <c r="O120" i="12"/>
  <c r="L120" i="12"/>
  <c r="M120" i="12" s="1"/>
  <c r="J120" i="12"/>
  <c r="L119" i="12"/>
  <c r="J119" i="12"/>
  <c r="L118" i="12"/>
  <c r="J118" i="12"/>
  <c r="O117" i="12"/>
  <c r="L117" i="12"/>
  <c r="M117" i="12" s="1"/>
  <c r="J117" i="12"/>
  <c r="O116" i="12"/>
  <c r="L116" i="12"/>
  <c r="M116" i="12" s="1"/>
  <c r="J116" i="12"/>
  <c r="O114" i="12"/>
  <c r="L114" i="12"/>
  <c r="M114" i="12" s="1"/>
  <c r="J114" i="12"/>
  <c r="O113" i="12"/>
  <c r="L113" i="12"/>
  <c r="M113" i="12" s="1"/>
  <c r="J113" i="12"/>
  <c r="O112" i="12"/>
  <c r="L112" i="12"/>
  <c r="M112" i="12" s="1"/>
  <c r="J112" i="12"/>
  <c r="O111" i="12"/>
  <c r="L111" i="12"/>
  <c r="M111" i="12" s="1"/>
  <c r="J111" i="12"/>
  <c r="O110" i="12"/>
  <c r="L110" i="12"/>
  <c r="M110" i="12" s="1"/>
  <c r="J110" i="12"/>
  <c r="L109" i="12"/>
  <c r="J109" i="12"/>
  <c r="O108" i="12"/>
  <c r="L108" i="12"/>
  <c r="M108" i="12" s="1"/>
  <c r="J108" i="12"/>
  <c r="L107" i="12"/>
  <c r="J107" i="12"/>
  <c r="O106" i="12"/>
  <c r="L106" i="12"/>
  <c r="M106" i="12" s="1"/>
  <c r="J106" i="12"/>
  <c r="O105" i="12"/>
  <c r="L105" i="12"/>
  <c r="M105" i="12" s="1"/>
  <c r="J105" i="12"/>
  <c r="O104" i="12"/>
  <c r="L104" i="12"/>
  <c r="M104" i="12" s="1"/>
  <c r="J104" i="12"/>
  <c r="L103" i="12"/>
  <c r="J103" i="12"/>
  <c r="L102" i="12"/>
  <c r="J102" i="12"/>
  <c r="L101" i="12"/>
  <c r="J101" i="12"/>
  <c r="O100" i="12"/>
  <c r="L100" i="12"/>
  <c r="M100" i="12" s="1"/>
  <c r="J100" i="12"/>
  <c r="O99" i="12"/>
  <c r="L99" i="12"/>
  <c r="M99" i="12" s="1"/>
  <c r="J99" i="12"/>
  <c r="O98" i="12"/>
  <c r="L98" i="12"/>
  <c r="M98" i="12" s="1"/>
  <c r="J98" i="12"/>
  <c r="L97" i="12"/>
  <c r="J97" i="12"/>
  <c r="O96" i="12"/>
  <c r="L96" i="12"/>
  <c r="M96" i="12" s="1"/>
  <c r="J96" i="12"/>
  <c r="L95" i="12"/>
  <c r="J95" i="12"/>
  <c r="O93" i="12"/>
  <c r="L93" i="12"/>
  <c r="M93" i="12" s="1"/>
  <c r="J93" i="12"/>
  <c r="L92" i="12"/>
  <c r="J92" i="12"/>
  <c r="L91" i="12"/>
  <c r="J91" i="12"/>
  <c r="L90" i="12"/>
  <c r="J90" i="12"/>
  <c r="O89" i="12"/>
  <c r="L89" i="12"/>
  <c r="M89" i="12" s="1"/>
  <c r="J89" i="12"/>
  <c r="L88" i="12"/>
  <c r="J88" i="12"/>
  <c r="L87" i="12"/>
  <c r="J87" i="12"/>
  <c r="O86" i="12"/>
  <c r="L86" i="12"/>
  <c r="M86" i="12" s="1"/>
  <c r="J86" i="12"/>
  <c r="O85" i="12"/>
  <c r="L85" i="12"/>
  <c r="M85" i="12" s="1"/>
  <c r="J85" i="12"/>
  <c r="L84" i="12"/>
  <c r="J84" i="12"/>
  <c r="O83" i="12"/>
  <c r="L83" i="12"/>
  <c r="M83" i="12" s="1"/>
  <c r="J83" i="12"/>
  <c r="O82" i="12"/>
  <c r="L82" i="12"/>
  <c r="M82" i="12" s="1"/>
  <c r="J82" i="12"/>
  <c r="L80" i="12"/>
  <c r="J80" i="12"/>
  <c r="L79" i="12"/>
  <c r="J79" i="12"/>
  <c r="L78" i="12"/>
  <c r="J78" i="12"/>
  <c r="O77" i="12"/>
  <c r="L77" i="12"/>
  <c r="M77" i="12" s="1"/>
  <c r="J77" i="12"/>
  <c r="L76" i="12"/>
  <c r="J76" i="12"/>
  <c r="L75" i="12"/>
  <c r="J75" i="12"/>
  <c r="O74" i="12"/>
  <c r="L74" i="12"/>
  <c r="M74" i="12" s="1"/>
  <c r="J74" i="12"/>
  <c r="O73" i="12"/>
  <c r="L73" i="12"/>
  <c r="M73" i="12" s="1"/>
  <c r="J73" i="12"/>
  <c r="O72" i="12"/>
  <c r="L72" i="12"/>
  <c r="M72" i="12" s="1"/>
  <c r="J72" i="12"/>
  <c r="L71" i="12"/>
  <c r="J71" i="12"/>
  <c r="O70" i="12"/>
  <c r="L70" i="12"/>
  <c r="M70" i="12" s="1"/>
  <c r="J70" i="12"/>
  <c r="O69" i="12"/>
  <c r="L69" i="12"/>
  <c r="M69" i="12" s="1"/>
  <c r="J69" i="12"/>
  <c r="L68" i="12"/>
  <c r="J68" i="12"/>
  <c r="L67" i="12"/>
  <c r="J67" i="12"/>
  <c r="O65" i="12"/>
  <c r="L65" i="12"/>
  <c r="M65" i="12" s="1"/>
  <c r="J65" i="12"/>
  <c r="L64" i="12"/>
  <c r="J64" i="12"/>
  <c r="O63" i="12"/>
  <c r="L63" i="12"/>
  <c r="M63" i="12" s="1"/>
  <c r="J63" i="12"/>
  <c r="L62" i="12"/>
  <c r="J62" i="12"/>
  <c r="O61" i="12"/>
  <c r="L61" i="12"/>
  <c r="M61" i="12" s="1"/>
  <c r="J61" i="12"/>
  <c r="O60" i="12"/>
  <c r="L60" i="12"/>
  <c r="M60" i="12" s="1"/>
  <c r="J60" i="12"/>
  <c r="O59" i="12"/>
  <c r="M59" i="12"/>
  <c r="L59" i="12"/>
  <c r="J59" i="12"/>
  <c r="O58" i="12"/>
  <c r="L58" i="12"/>
  <c r="M58" i="12" s="1"/>
  <c r="J58" i="12"/>
  <c r="O57" i="12"/>
  <c r="L57" i="12"/>
  <c r="M57" i="12" s="1"/>
  <c r="J57" i="12"/>
  <c r="L56" i="12"/>
  <c r="J56" i="12"/>
  <c r="O55" i="12"/>
  <c r="L55" i="12"/>
  <c r="M55" i="12" s="1"/>
  <c r="J55" i="12"/>
  <c r="O54" i="12"/>
  <c r="L54" i="12"/>
  <c r="M54" i="12" s="1"/>
  <c r="J54" i="12"/>
  <c r="L53" i="12"/>
  <c r="J53" i="12"/>
  <c r="L52" i="12"/>
  <c r="J52" i="12"/>
  <c r="O50" i="12"/>
  <c r="L50" i="12"/>
  <c r="M50" i="12" s="1"/>
  <c r="J50" i="12"/>
  <c r="L49" i="12"/>
  <c r="J49" i="12"/>
  <c r="O48" i="12"/>
  <c r="L48" i="12"/>
  <c r="M48" i="12" s="1"/>
  <c r="J48" i="12"/>
  <c r="L47" i="12"/>
  <c r="J47" i="12"/>
  <c r="O46" i="12"/>
  <c r="L46" i="12"/>
  <c r="M46" i="12" s="1"/>
  <c r="J46" i="12"/>
  <c r="O45" i="12"/>
  <c r="L45" i="12"/>
  <c r="M45" i="12" s="1"/>
  <c r="J45" i="12"/>
  <c r="O44" i="12"/>
  <c r="L44" i="12"/>
  <c r="M44" i="12" s="1"/>
  <c r="J44" i="12"/>
  <c r="L43" i="12"/>
  <c r="J43" i="12"/>
  <c r="L42" i="12"/>
  <c r="J42" i="12"/>
  <c r="O41" i="12"/>
  <c r="L41" i="12"/>
  <c r="M41" i="12" s="1"/>
  <c r="J41" i="12"/>
  <c r="L40" i="12"/>
  <c r="J40" i="12"/>
  <c r="O39" i="12"/>
  <c r="L39" i="12"/>
  <c r="M39" i="12" s="1"/>
  <c r="J39" i="12"/>
  <c r="O37" i="12"/>
  <c r="L37" i="12"/>
  <c r="M37" i="12" s="1"/>
  <c r="J37" i="12"/>
  <c r="L36" i="12"/>
  <c r="J36" i="12"/>
  <c r="O35" i="12"/>
  <c r="L35" i="12"/>
  <c r="M35" i="12" s="1"/>
  <c r="J35" i="12"/>
  <c r="O34" i="12"/>
  <c r="L34" i="12"/>
  <c r="M34" i="12" s="1"/>
  <c r="J34" i="12"/>
  <c r="L33" i="12"/>
  <c r="J33" i="12"/>
  <c r="O32" i="12"/>
  <c r="L32" i="12"/>
  <c r="M32" i="12" s="1"/>
  <c r="J32" i="12"/>
  <c r="O31" i="12"/>
  <c r="L31" i="12"/>
  <c r="M31" i="12" s="1"/>
  <c r="J31" i="12"/>
  <c r="L30" i="12"/>
  <c r="J30" i="12"/>
  <c r="L29" i="12"/>
  <c r="J29" i="12"/>
  <c r="O28" i="12"/>
  <c r="L28" i="12"/>
  <c r="M28" i="12" s="1"/>
  <c r="J28" i="12"/>
  <c r="O26" i="12"/>
  <c r="L26" i="12"/>
  <c r="M26" i="12" s="1"/>
  <c r="J26" i="12"/>
  <c r="L25" i="12"/>
  <c r="J25" i="12"/>
  <c r="O24" i="12"/>
  <c r="L24" i="12"/>
  <c r="M24" i="12" s="1"/>
  <c r="J24" i="12"/>
  <c r="O23" i="12"/>
  <c r="L23" i="12"/>
  <c r="M23" i="12" s="1"/>
  <c r="J23" i="12"/>
  <c r="L22" i="12"/>
  <c r="J22" i="12"/>
  <c r="L21" i="12"/>
  <c r="J21" i="12"/>
  <c r="O20" i="12"/>
  <c r="L20" i="12"/>
  <c r="M20" i="12" s="1"/>
  <c r="J20" i="12"/>
  <c r="O19" i="12"/>
  <c r="L19" i="12"/>
  <c r="M19" i="12" s="1"/>
  <c r="J19" i="12"/>
  <c r="L18" i="12"/>
  <c r="J18" i="12"/>
  <c r="O17" i="12"/>
  <c r="M17" i="12"/>
  <c r="L17" i="12"/>
  <c r="J17" i="12"/>
  <c r="O16" i="12"/>
  <c r="L16" i="12"/>
  <c r="J16" i="12"/>
  <c r="O15" i="12"/>
  <c r="L15" i="12"/>
  <c r="M15" i="12" s="1"/>
  <c r="J15" i="12"/>
  <c r="C15" i="12"/>
  <c r="O14" i="12"/>
  <c r="J14" i="12"/>
  <c r="C14" i="12"/>
  <c r="J129" i="5"/>
  <c r="L129" i="5"/>
  <c r="J126" i="5"/>
  <c r="L126" i="5"/>
  <c r="M126" i="5" s="1"/>
  <c r="J127" i="5"/>
  <c r="L127" i="5"/>
  <c r="M127" i="5" s="1"/>
  <c r="J128" i="5"/>
  <c r="L128" i="5"/>
  <c r="M128" i="5" s="1"/>
  <c r="L124" i="5"/>
  <c r="M124" i="5" s="1"/>
  <c r="J124" i="5"/>
  <c r="K15" i="12" l="1"/>
  <c r="Q143" i="12"/>
  <c r="Q162" i="12"/>
  <c r="Q77" i="12"/>
  <c r="Q126" i="12"/>
  <c r="Q111" i="12"/>
  <c r="Q62" i="12"/>
  <c r="K14" i="12"/>
  <c r="O2" i="12"/>
  <c r="Q34" i="12"/>
  <c r="N14" i="12"/>
  <c r="Q47" i="12"/>
  <c r="Q90" i="12"/>
  <c r="Q23" i="12"/>
  <c r="L5" i="12"/>
  <c r="M16" i="12"/>
  <c r="J5" i="12"/>
  <c r="N2" i="12"/>
  <c r="O19" i="5"/>
  <c r="O20" i="5"/>
  <c r="O23" i="5"/>
  <c r="O24" i="5"/>
  <c r="O26" i="5"/>
  <c r="O28" i="5"/>
  <c r="O31" i="5"/>
  <c r="O32" i="5"/>
  <c r="O34" i="5"/>
  <c r="O35" i="5"/>
  <c r="O37" i="5"/>
  <c r="O39" i="5"/>
  <c r="O41" i="5"/>
  <c r="O44" i="5"/>
  <c r="O45" i="5"/>
  <c r="O47" i="5"/>
  <c r="O51" i="5"/>
  <c r="O52" i="5"/>
  <c r="O54" i="5"/>
  <c r="O58" i="5"/>
  <c r="O60" i="5"/>
  <c r="O65" i="5"/>
  <c r="O66" i="5"/>
  <c r="O68" i="5"/>
  <c r="O69" i="5"/>
  <c r="O73" i="5"/>
  <c r="O76" i="5"/>
  <c r="O78" i="5"/>
  <c r="O79" i="5"/>
  <c r="O83" i="5"/>
  <c r="O84" i="5"/>
  <c r="O85" i="5"/>
  <c r="O86" i="5"/>
  <c r="O88" i="5"/>
  <c r="O89" i="5"/>
  <c r="O92" i="5"/>
  <c r="O96" i="5"/>
  <c r="O98" i="5"/>
  <c r="O100" i="5"/>
  <c r="O103" i="5"/>
  <c r="O105" i="5"/>
  <c r="O106" i="5"/>
  <c r="O109" i="5"/>
  <c r="O110" i="5"/>
  <c r="O111" i="5"/>
  <c r="O112" i="5"/>
  <c r="O116" i="5"/>
  <c r="O118" i="5"/>
  <c r="O123" i="5"/>
  <c r="O124" i="5"/>
  <c r="O126" i="5"/>
  <c r="O127" i="5"/>
  <c r="O128" i="5"/>
  <c r="N15" i="12" l="1"/>
  <c r="C17" i="12" s="1"/>
  <c r="K17" i="12" s="1"/>
  <c r="O16" i="5"/>
  <c r="O17" i="5"/>
  <c r="L15" i="5"/>
  <c r="C16" i="12" l="1"/>
  <c r="K16" i="12" s="1"/>
  <c r="N16" i="12" s="1"/>
  <c r="N17" i="12" s="1"/>
  <c r="C18" i="12" s="1"/>
  <c r="J108" i="5"/>
  <c r="L108" i="5"/>
  <c r="J109" i="5"/>
  <c r="L109" i="5"/>
  <c r="M109" i="5" s="1"/>
  <c r="J110" i="5"/>
  <c r="L110" i="5"/>
  <c r="M110" i="5" s="1"/>
  <c r="J111" i="5"/>
  <c r="L111" i="5"/>
  <c r="M111" i="5" s="1"/>
  <c r="J112" i="5"/>
  <c r="L112" i="5"/>
  <c r="J113" i="5"/>
  <c r="L113" i="5"/>
  <c r="J114" i="5"/>
  <c r="L114" i="5"/>
  <c r="J115" i="5"/>
  <c r="L115" i="5"/>
  <c r="J116" i="5"/>
  <c r="L116" i="5"/>
  <c r="M116" i="5" s="1"/>
  <c r="J117" i="5"/>
  <c r="L117" i="5"/>
  <c r="J118" i="5"/>
  <c r="L118" i="5"/>
  <c r="M118" i="5" s="1"/>
  <c r="J119" i="5"/>
  <c r="L119" i="5"/>
  <c r="J120" i="5"/>
  <c r="L120" i="5"/>
  <c r="J121" i="5"/>
  <c r="L121" i="5"/>
  <c r="J122" i="5"/>
  <c r="L122" i="5"/>
  <c r="J123" i="5"/>
  <c r="L123" i="5"/>
  <c r="M123" i="5" s="1"/>
  <c r="J101" i="5"/>
  <c r="L101" i="5"/>
  <c r="J102" i="5"/>
  <c r="L102" i="5"/>
  <c r="J103" i="5"/>
  <c r="L103" i="5"/>
  <c r="J104" i="5"/>
  <c r="L104" i="5"/>
  <c r="J105" i="5"/>
  <c r="L105" i="5"/>
  <c r="M105" i="5" s="1"/>
  <c r="J106" i="5"/>
  <c r="L106" i="5"/>
  <c r="M18" i="12" l="1"/>
  <c r="K18" i="12"/>
  <c r="J95" i="5"/>
  <c r="J96" i="5"/>
  <c r="J98" i="5"/>
  <c r="J99" i="5"/>
  <c r="J100" i="5"/>
  <c r="L95" i="5"/>
  <c r="L96" i="5"/>
  <c r="M96" i="5" s="1"/>
  <c r="L98" i="5"/>
  <c r="L99" i="5"/>
  <c r="L100" i="5"/>
  <c r="M100" i="5" s="1"/>
  <c r="L94" i="5"/>
  <c r="L84" i="5"/>
  <c r="J94" i="5"/>
  <c r="J93" i="5"/>
  <c r="L93" i="5"/>
  <c r="J76" i="5"/>
  <c r="N18" i="12" l="1"/>
  <c r="C19" i="12" s="1"/>
  <c r="K19" i="12" s="1"/>
  <c r="N19" i="12" s="1"/>
  <c r="C20" i="12" s="1"/>
  <c r="K20" i="12" s="1"/>
  <c r="N20" i="12" s="1"/>
  <c r="C21" i="12" s="1"/>
  <c r="J44" i="5"/>
  <c r="L44" i="5"/>
  <c r="M44" i="5" s="1"/>
  <c r="J45" i="5"/>
  <c r="L45" i="5"/>
  <c r="M45" i="5" s="1"/>
  <c r="J46" i="5"/>
  <c r="L46" i="5"/>
  <c r="J47" i="5"/>
  <c r="L47" i="5"/>
  <c r="J49" i="5"/>
  <c r="L49" i="5"/>
  <c r="J50" i="5"/>
  <c r="L50" i="5"/>
  <c r="J51" i="5"/>
  <c r="L51" i="5"/>
  <c r="M51" i="5" s="1"/>
  <c r="J52" i="5"/>
  <c r="L52" i="5"/>
  <c r="M52" i="5" s="1"/>
  <c r="J54" i="5"/>
  <c r="L54" i="5"/>
  <c r="J56" i="5"/>
  <c r="L56" i="5"/>
  <c r="J57" i="5"/>
  <c r="L57" i="5"/>
  <c r="J58" i="5"/>
  <c r="L58" i="5"/>
  <c r="J59" i="5"/>
  <c r="L59" i="5"/>
  <c r="J60" i="5"/>
  <c r="L60" i="5"/>
  <c r="J61" i="5"/>
  <c r="L61" i="5"/>
  <c r="J62" i="5"/>
  <c r="L62" i="5"/>
  <c r="J63" i="5"/>
  <c r="L63" i="5"/>
  <c r="J65" i="5"/>
  <c r="L65" i="5"/>
  <c r="J66" i="5"/>
  <c r="L66" i="5"/>
  <c r="M66" i="5" s="1"/>
  <c r="J67" i="5"/>
  <c r="L67" i="5"/>
  <c r="J68" i="5"/>
  <c r="L68" i="5"/>
  <c r="J69" i="5"/>
  <c r="L69" i="5"/>
  <c r="J70" i="5"/>
  <c r="L70" i="5"/>
  <c r="J71" i="5"/>
  <c r="L71" i="5"/>
  <c r="J72" i="5"/>
  <c r="L72" i="5"/>
  <c r="J73" i="5"/>
  <c r="L73" i="5"/>
  <c r="J75" i="5"/>
  <c r="L75" i="5"/>
  <c r="L76" i="5"/>
  <c r="J77" i="5"/>
  <c r="L77" i="5"/>
  <c r="J78" i="5"/>
  <c r="L78" i="5"/>
  <c r="J79" i="5"/>
  <c r="L79" i="5"/>
  <c r="M79" i="5" s="1"/>
  <c r="J80" i="5"/>
  <c r="L80" i="5"/>
  <c r="J81" i="5"/>
  <c r="L81" i="5"/>
  <c r="J82" i="5"/>
  <c r="L82" i="5"/>
  <c r="J83" i="5"/>
  <c r="L83" i="5"/>
  <c r="M83" i="5" s="1"/>
  <c r="J84" i="5"/>
  <c r="J85" i="5"/>
  <c r="L85" i="5"/>
  <c r="J86" i="5"/>
  <c r="L86" i="5"/>
  <c r="J88" i="5"/>
  <c r="L88" i="5"/>
  <c r="M88" i="5" s="1"/>
  <c r="J89" i="5"/>
  <c r="L89" i="5"/>
  <c r="M89" i="5" s="1"/>
  <c r="J90" i="5"/>
  <c r="L90" i="5"/>
  <c r="J91" i="5"/>
  <c r="L91" i="5"/>
  <c r="J92" i="5"/>
  <c r="L92" i="5"/>
  <c r="J37" i="5"/>
  <c r="L37" i="5"/>
  <c r="M37" i="5" s="1"/>
  <c r="J39" i="5"/>
  <c r="L39" i="5"/>
  <c r="J40" i="5"/>
  <c r="L40" i="5"/>
  <c r="J41" i="5"/>
  <c r="L41" i="5"/>
  <c r="J42" i="5"/>
  <c r="L42" i="5"/>
  <c r="J43" i="5"/>
  <c r="L43" i="5"/>
  <c r="M21" i="12" l="1"/>
  <c r="K21" i="12"/>
  <c r="J25" i="5"/>
  <c r="J26" i="5"/>
  <c r="J28" i="5"/>
  <c r="J29" i="5"/>
  <c r="J30" i="5"/>
  <c r="J31" i="5"/>
  <c r="J32" i="5"/>
  <c r="J33" i="5"/>
  <c r="J34" i="5"/>
  <c r="J35" i="5"/>
  <c r="J36" i="5"/>
  <c r="L26" i="5"/>
  <c r="L28" i="5"/>
  <c r="L29" i="5"/>
  <c r="L30" i="5"/>
  <c r="L31" i="5"/>
  <c r="L32" i="5"/>
  <c r="L33" i="5"/>
  <c r="L34" i="5"/>
  <c r="L35" i="5"/>
  <c r="L36" i="5"/>
  <c r="L25" i="5"/>
  <c r="O15" i="5"/>
  <c r="N21" i="12" l="1"/>
  <c r="C22" i="12" s="1"/>
  <c r="I11" i="5"/>
  <c r="M22" i="12" l="1"/>
  <c r="K22" i="12"/>
  <c r="L16" i="5"/>
  <c r="L17" i="5"/>
  <c r="L18" i="5"/>
  <c r="L19" i="5"/>
  <c r="L20" i="5"/>
  <c r="L21" i="5"/>
  <c r="L22" i="5"/>
  <c r="L23" i="5"/>
  <c r="L24" i="5"/>
  <c r="J24" i="5"/>
  <c r="J21" i="5"/>
  <c r="J22" i="5"/>
  <c r="J23" i="5"/>
  <c r="J19" i="5"/>
  <c r="J20" i="5"/>
  <c r="J16" i="5"/>
  <c r="J17" i="5"/>
  <c r="J18" i="5"/>
  <c r="J15" i="5"/>
  <c r="J14" i="5"/>
  <c r="N2" i="5" l="1"/>
  <c r="N22" i="12"/>
  <c r="C23" i="12" s="1"/>
  <c r="K23" i="12" s="1"/>
  <c r="N23" i="12" s="1"/>
  <c r="C24" i="12" s="1"/>
  <c r="K24" i="12" s="1"/>
  <c r="N24" i="12" s="1"/>
  <c r="C25" i="12" s="1"/>
  <c r="J10" i="5"/>
  <c r="J11" i="5"/>
  <c r="L11" i="5"/>
  <c r="K14" i="5"/>
  <c r="P5" i="5"/>
  <c r="Q5" i="5"/>
  <c r="L5" i="5"/>
  <c r="J5" i="5"/>
  <c r="O14" i="5"/>
  <c r="O2" i="5" s="1"/>
  <c r="M25" i="12" l="1"/>
  <c r="K25" i="12"/>
  <c r="N14" i="5"/>
  <c r="C15" i="5" s="1"/>
  <c r="N25" i="12" l="1"/>
  <c r="C26" i="12" s="1"/>
  <c r="K26" i="12" s="1"/>
  <c r="M15" i="5"/>
  <c r="K15" i="5"/>
  <c r="N26" i="12" l="1"/>
  <c r="Q24" i="12"/>
  <c r="N15" i="5"/>
  <c r="C16" i="5" s="1"/>
  <c r="C28" i="12" l="1"/>
  <c r="K28" i="12" s="1"/>
  <c r="Q26" i="12"/>
  <c r="Q25" i="12" s="1"/>
  <c r="K16" i="5"/>
  <c r="M16" i="5"/>
  <c r="N28" i="12" l="1"/>
  <c r="C29" i="12" s="1"/>
  <c r="N16" i="5"/>
  <c r="C17" i="5" s="1"/>
  <c r="K29" i="12" l="1"/>
  <c r="M29" i="12"/>
  <c r="N29" i="12" s="1"/>
  <c r="C30" i="12" s="1"/>
  <c r="M17" i="5"/>
  <c r="K17" i="5"/>
  <c r="K30" i="12" l="1"/>
  <c r="M30" i="12"/>
  <c r="N30" i="12" s="1"/>
  <c r="C31" i="12" s="1"/>
  <c r="K31" i="12" s="1"/>
  <c r="N31" i="12" s="1"/>
  <c r="C32" i="12" s="1"/>
  <c r="K32" i="12" s="1"/>
  <c r="N32" i="12" s="1"/>
  <c r="C33" i="12" s="1"/>
  <c r="N17" i="5"/>
  <c r="C18" i="5" s="1"/>
  <c r="K33" i="12" l="1"/>
  <c r="M33" i="12"/>
  <c r="N33" i="12" s="1"/>
  <c r="C34" i="12" s="1"/>
  <c r="K34" i="12" s="1"/>
  <c r="N34" i="12" s="1"/>
  <c r="C35" i="12" s="1"/>
  <c r="K35" i="12" s="1"/>
  <c r="N35" i="12" s="1"/>
  <c r="C36" i="12" s="1"/>
  <c r="M18" i="5"/>
  <c r="K18" i="5"/>
  <c r="M19" i="5"/>
  <c r="K36" i="12" l="1"/>
  <c r="M36" i="12"/>
  <c r="N36" i="12" s="1"/>
  <c r="C37" i="12" s="1"/>
  <c r="K37" i="12" s="1"/>
  <c r="N18" i="5"/>
  <c r="C19" i="5" s="1"/>
  <c r="N37" i="12" l="1"/>
  <c r="Q35" i="12"/>
  <c r="K19" i="5"/>
  <c r="N19" i="5" s="1"/>
  <c r="M20" i="5"/>
  <c r="C20" i="5" l="1"/>
  <c r="K20" i="5" s="1"/>
  <c r="N20" i="5" s="1"/>
  <c r="C21" i="5" s="1"/>
  <c r="Q37" i="12"/>
  <c r="Q36" i="12" s="1"/>
  <c r="C39" i="12"/>
  <c r="K39" i="12" s="1"/>
  <c r="M23" i="5"/>
  <c r="N39" i="12" l="1"/>
  <c r="C40" i="12" s="1"/>
  <c r="M40" i="12" l="1"/>
  <c r="N40" i="12" s="1"/>
  <c r="C41" i="12" s="1"/>
  <c r="K41" i="12" s="1"/>
  <c r="N41" i="12" s="1"/>
  <c r="C42" i="12" s="1"/>
  <c r="K40" i="12"/>
  <c r="K21" i="5"/>
  <c r="M21" i="5"/>
  <c r="M42" i="12" l="1"/>
  <c r="N42" i="12" s="1"/>
  <c r="C43" i="12" s="1"/>
  <c r="K42" i="12"/>
  <c r="N21" i="5"/>
  <c r="M24" i="5"/>
  <c r="C22" i="5" l="1"/>
  <c r="M22" i="5" s="1"/>
  <c r="N22" i="5" s="1"/>
  <c r="K43" i="12"/>
  <c r="M43" i="12"/>
  <c r="N43" i="12" s="1"/>
  <c r="C44" i="12" s="1"/>
  <c r="K44" i="12" s="1"/>
  <c r="N44" i="12" s="1"/>
  <c r="C23" i="5" l="1"/>
  <c r="K23" i="5" s="1"/>
  <c r="N23" i="5" s="1"/>
  <c r="K22" i="5"/>
  <c r="C45" i="12"/>
  <c r="K45" i="12" s="1"/>
  <c r="N45" i="12" s="1"/>
  <c r="C46" i="12"/>
  <c r="K46" i="12" s="1"/>
  <c r="M31" i="5"/>
  <c r="C24" i="5" l="1"/>
  <c r="K24" i="5" s="1"/>
  <c r="N24" i="5" s="1"/>
  <c r="C25" i="5" s="1"/>
  <c r="N46" i="12"/>
  <c r="C47" i="12" s="1"/>
  <c r="M26" i="5"/>
  <c r="M25" i="5" l="1"/>
  <c r="K25" i="5"/>
  <c r="M47" i="12"/>
  <c r="N47" i="12" s="1"/>
  <c r="K47" i="12"/>
  <c r="N25" i="5"/>
  <c r="C26" i="5" l="1"/>
  <c r="K26" i="5" s="1"/>
  <c r="N26" i="5" s="1"/>
  <c r="C48" i="12"/>
  <c r="K48" i="12" s="1"/>
  <c r="N48" i="12" s="1"/>
  <c r="C50" i="12"/>
  <c r="K50" i="12" s="1"/>
  <c r="C49" i="12"/>
  <c r="M28" i="5"/>
  <c r="C28" i="5" l="1"/>
  <c r="K28" i="5" s="1"/>
  <c r="N28" i="5" s="1"/>
  <c r="C29" i="5" s="1"/>
  <c r="K49" i="12"/>
  <c r="M49" i="12"/>
  <c r="N49" i="12" s="1"/>
  <c r="N50" i="12" s="1"/>
  <c r="M34" i="5"/>
  <c r="Q48" i="12" l="1"/>
  <c r="Q50" i="12"/>
  <c r="Q49" i="12" s="1"/>
  <c r="C52" i="12"/>
  <c r="K52" i="12" l="1"/>
  <c r="M52" i="12"/>
  <c r="N52" i="12" s="1"/>
  <c r="K29" i="5"/>
  <c r="M29" i="5"/>
  <c r="C54" i="12" l="1"/>
  <c r="K54" i="12" s="1"/>
  <c r="C53" i="12"/>
  <c r="N29" i="5"/>
  <c r="C30" i="5" l="1"/>
  <c r="M30" i="5" s="1"/>
  <c r="N30" i="5" s="1"/>
  <c r="C31" i="5" s="1"/>
  <c r="K31" i="5" s="1"/>
  <c r="N31" i="5" s="1"/>
  <c r="K53" i="12"/>
  <c r="M53" i="12"/>
  <c r="N53" i="12" s="1"/>
  <c r="N54" i="12" s="1"/>
  <c r="M32" i="5"/>
  <c r="K30" i="5" l="1"/>
  <c r="C32" i="5"/>
  <c r="K32" i="5" s="1"/>
  <c r="N32" i="5" s="1"/>
  <c r="C33" i="5" s="1"/>
  <c r="C56" i="12"/>
  <c r="C55" i="12"/>
  <c r="K55" i="12" s="1"/>
  <c r="N55" i="12" s="1"/>
  <c r="M56" i="12" l="1"/>
  <c r="N56" i="12" s="1"/>
  <c r="K56" i="12"/>
  <c r="K33" i="5"/>
  <c r="M33" i="5"/>
  <c r="C59" i="12" l="1"/>
  <c r="K59" i="12" s="1"/>
  <c r="C62" i="12"/>
  <c r="C58" i="12"/>
  <c r="K58" i="12" s="1"/>
  <c r="C61" i="12"/>
  <c r="K61" i="12" s="1"/>
  <c r="C57" i="12"/>
  <c r="K57" i="12" s="1"/>
  <c r="N57" i="12" s="1"/>
  <c r="N33" i="5"/>
  <c r="C34" i="5" s="1"/>
  <c r="N58" i="12" l="1"/>
  <c r="N59" i="12" s="1"/>
  <c r="C60" i="12" s="1"/>
  <c r="K60" i="12" s="1"/>
  <c r="N60" i="12" s="1"/>
  <c r="N61" i="12" s="1"/>
  <c r="K62" i="12"/>
  <c r="M62" i="12"/>
  <c r="K34" i="5"/>
  <c r="N34" i="5" s="1"/>
  <c r="M35" i="5"/>
  <c r="C35" i="5" l="1"/>
  <c r="K35" i="5" s="1"/>
  <c r="N35" i="5" s="1"/>
  <c r="C36" i="5" s="1"/>
  <c r="N62" i="12"/>
  <c r="C64" i="12" l="1"/>
  <c r="C63" i="12"/>
  <c r="K63" i="12" s="1"/>
  <c r="N63" i="12" s="1"/>
  <c r="C65" i="12"/>
  <c r="K65" i="12" s="1"/>
  <c r="M64" i="12" l="1"/>
  <c r="N64" i="12" s="1"/>
  <c r="N65" i="12" s="1"/>
  <c r="K64" i="12"/>
  <c r="K36" i="5"/>
  <c r="M36" i="5"/>
  <c r="M39" i="5"/>
  <c r="Q63" i="12" l="1"/>
  <c r="C67" i="12"/>
  <c r="Q65" i="12"/>
  <c r="Q64" i="12" s="1"/>
  <c r="N36" i="5"/>
  <c r="C37" i="5" l="1"/>
  <c r="K37" i="5" s="1"/>
  <c r="M67" i="12"/>
  <c r="N67" i="12" s="1"/>
  <c r="K67" i="12"/>
  <c r="N37" i="5" l="1"/>
  <c r="C69" i="12"/>
  <c r="K69" i="12" s="1"/>
  <c r="C68" i="12"/>
  <c r="C39" i="5" l="1"/>
  <c r="K39" i="5" s="1"/>
  <c r="M68" i="12"/>
  <c r="N68" i="12" s="1"/>
  <c r="K68" i="12"/>
  <c r="M41" i="5"/>
  <c r="C40" i="5" l="1"/>
  <c r="K40" i="5" s="1"/>
  <c r="C75" i="12"/>
  <c r="C72" i="12"/>
  <c r="K72" i="12" s="1"/>
  <c r="C73" i="12"/>
  <c r="K73" i="12" s="1"/>
  <c r="C70" i="12"/>
  <c r="K70" i="12" s="1"/>
  <c r="C74" i="12"/>
  <c r="K74" i="12" s="1"/>
  <c r="C71" i="12"/>
  <c r="N69" i="12"/>
  <c r="N70" i="12" l="1"/>
  <c r="M40" i="5"/>
  <c r="N40" i="5" s="1"/>
  <c r="C41" i="5" s="1"/>
  <c r="K41" i="5" s="1"/>
  <c r="N41" i="5" s="1"/>
  <c r="C42" i="5" s="1"/>
  <c r="K42" i="5" s="1"/>
  <c r="M71" i="12"/>
  <c r="K71" i="12"/>
  <c r="M75" i="12"/>
  <c r="K75" i="12"/>
  <c r="N71" i="12" l="1"/>
  <c r="N72" i="12" s="1"/>
  <c r="N73" i="12" s="1"/>
  <c r="N74" i="12" s="1"/>
  <c r="N75" i="12" s="1"/>
  <c r="C76" i="12" s="1"/>
  <c r="M42" i="5"/>
  <c r="N42" i="5" s="1"/>
  <c r="C43" i="5" s="1"/>
  <c r="K76" i="12" l="1"/>
  <c r="M76" i="12"/>
  <c r="N76" i="12" s="1"/>
  <c r="C77" i="12" s="1"/>
  <c r="K77" i="12" s="1"/>
  <c r="N77" i="12" s="1"/>
  <c r="C78" i="12" s="1"/>
  <c r="M78" i="12" l="1"/>
  <c r="N78" i="12" s="1"/>
  <c r="C79" i="12" s="1"/>
  <c r="K78" i="12"/>
  <c r="K43" i="5"/>
  <c r="M43" i="5"/>
  <c r="K79" i="12" l="1"/>
  <c r="M79" i="12"/>
  <c r="N79" i="12" s="1"/>
  <c r="C80" i="12" s="1"/>
  <c r="N43" i="5"/>
  <c r="C44" i="5" l="1"/>
  <c r="K44" i="5" s="1"/>
  <c r="N44" i="5" s="1"/>
  <c r="K80" i="12"/>
  <c r="Q78" i="12" s="1"/>
  <c r="M80" i="12"/>
  <c r="N80" i="12" s="1"/>
  <c r="C45" i="5" l="1"/>
  <c r="K45" i="5" s="1"/>
  <c r="N45" i="5" s="1"/>
  <c r="C46" i="5" s="1"/>
  <c r="Q80" i="12"/>
  <c r="Q79" i="12" s="1"/>
  <c r="C82" i="12"/>
  <c r="K82" i="12" s="1"/>
  <c r="N82" i="12" l="1"/>
  <c r="C83" i="12" s="1"/>
  <c r="K83" i="12" s="1"/>
  <c r="N83" i="12" s="1"/>
  <c r="C84" i="12" s="1"/>
  <c r="K46" i="5"/>
  <c r="M46" i="5"/>
  <c r="N46" i="5" s="1"/>
  <c r="M47" i="5"/>
  <c r="K84" i="12" l="1"/>
  <c r="M84" i="12"/>
  <c r="N84" i="12" s="1"/>
  <c r="C47" i="5"/>
  <c r="C86" i="12" l="1"/>
  <c r="K86" i="12" s="1"/>
  <c r="C87" i="12"/>
  <c r="C88" i="12"/>
  <c r="C85" i="12"/>
  <c r="K85" i="12" s="1"/>
  <c r="N85" i="12" s="1"/>
  <c r="K47" i="5"/>
  <c r="N47" i="5" s="1"/>
  <c r="C49" i="5" s="1"/>
  <c r="N86" i="12" l="1"/>
  <c r="M88" i="12"/>
  <c r="K88" i="12"/>
  <c r="K87" i="12"/>
  <c r="M87" i="12"/>
  <c r="N87" i="12" s="1"/>
  <c r="N88" i="12" l="1"/>
  <c r="C89" i="12" s="1"/>
  <c r="K89" i="12" s="1"/>
  <c r="N89" i="12" s="1"/>
  <c r="C90" i="12" s="1"/>
  <c r="M90" i="12" l="1"/>
  <c r="N90" i="12" s="1"/>
  <c r="C91" i="12" s="1"/>
  <c r="K90" i="12"/>
  <c r="M91" i="12" l="1"/>
  <c r="N91" i="12" s="1"/>
  <c r="C92" i="12" s="1"/>
  <c r="K91" i="12"/>
  <c r="K92" i="12" l="1"/>
  <c r="M92" i="12"/>
  <c r="N92" i="12" s="1"/>
  <c r="C93" i="12" s="1"/>
  <c r="K93" i="12" s="1"/>
  <c r="M49" i="5"/>
  <c r="K49" i="5"/>
  <c r="C50" i="5" l="1"/>
  <c r="N93" i="12"/>
  <c r="Q91" i="12" s="1"/>
  <c r="M50" i="5" l="1"/>
  <c r="C95" i="12"/>
  <c r="Q93" i="12"/>
  <c r="Q92" i="12" s="1"/>
  <c r="K50" i="5" l="1"/>
  <c r="C51" i="5" s="1"/>
  <c r="K51" i="5" s="1"/>
  <c r="K95" i="12"/>
  <c r="M95" i="12"/>
  <c r="N95" i="12" s="1"/>
  <c r="C96" i="12" s="1"/>
  <c r="K96" i="12" s="1"/>
  <c r="N96" i="12" s="1"/>
  <c r="C97" i="12" s="1"/>
  <c r="C52" i="5" l="1"/>
  <c r="K52" i="5" s="1"/>
  <c r="N52" i="5" s="1"/>
  <c r="K97" i="12"/>
  <c r="M97" i="12"/>
  <c r="N97" i="12" s="1"/>
  <c r="C98" i="12" s="1"/>
  <c r="K98" i="12" s="1"/>
  <c r="N98" i="12" s="1"/>
  <c r="C53" i="5" l="1"/>
  <c r="C100" i="12"/>
  <c r="K100" i="12" s="1"/>
  <c r="C99" i="12"/>
  <c r="K99" i="12" s="1"/>
  <c r="N99" i="12" s="1"/>
  <c r="N100" i="12" l="1"/>
  <c r="C101" i="12" s="1"/>
  <c r="K101" i="12" s="1"/>
  <c r="K53" i="5"/>
  <c r="M53" i="5"/>
  <c r="M101" i="12" l="1"/>
  <c r="N101" i="12" s="1"/>
  <c r="C102" i="12" s="1"/>
  <c r="K102" i="12" s="1"/>
  <c r="N53" i="5"/>
  <c r="C54" i="5" s="1"/>
  <c r="M102" i="12" l="1"/>
  <c r="N102" i="12" s="1"/>
  <c r="C103" i="12" s="1"/>
  <c r="K103" i="12" s="1"/>
  <c r="M103" i="12" l="1"/>
  <c r="N103" i="12" s="1"/>
  <c r="C107" i="12" s="1"/>
  <c r="C105" i="12" l="1"/>
  <c r="K105" i="12" s="1"/>
  <c r="C106" i="12"/>
  <c r="K106" i="12" s="1"/>
  <c r="C104" i="12"/>
  <c r="K104" i="12" s="1"/>
  <c r="N104" i="12" s="1"/>
  <c r="N105" i="12" s="1"/>
  <c r="C108" i="12"/>
  <c r="K108" i="12" s="1"/>
  <c r="C109" i="12"/>
  <c r="K109" i="12" s="1"/>
  <c r="K107" i="12"/>
  <c r="M107" i="12"/>
  <c r="K54" i="5"/>
  <c r="M54" i="5"/>
  <c r="N54" i="5" s="1"/>
  <c r="N106" i="12" l="1"/>
  <c r="N107" i="12" s="1"/>
  <c r="N108" i="12" s="1"/>
  <c r="N109" i="12" s="1"/>
  <c r="M109" i="12"/>
  <c r="C112" i="12" l="1"/>
  <c r="K112" i="12" s="1"/>
  <c r="C111" i="12"/>
  <c r="K111" i="12" s="1"/>
  <c r="C110" i="12"/>
  <c r="K110" i="12" s="1"/>
  <c r="N110" i="12" s="1"/>
  <c r="N111" i="12" l="1"/>
  <c r="N112" i="12" s="1"/>
  <c r="C113" i="12" s="1"/>
  <c r="K113" i="12" s="1"/>
  <c r="N113" i="12" s="1"/>
  <c r="C114" i="12" s="1"/>
  <c r="K114" i="12" s="1"/>
  <c r="N114" i="12" l="1"/>
  <c r="Q112" i="12"/>
  <c r="C116" i="12" l="1"/>
  <c r="K116" i="12" s="1"/>
  <c r="Q114" i="12"/>
  <c r="Q113" i="12" s="1"/>
  <c r="K56" i="5"/>
  <c r="M56" i="5"/>
  <c r="N56" i="5" s="1"/>
  <c r="M58" i="5"/>
  <c r="N116" i="12" l="1"/>
  <c r="C117" i="12" s="1"/>
  <c r="K117" i="12" s="1"/>
  <c r="N117" i="12" s="1"/>
  <c r="C118" i="12" s="1"/>
  <c r="K118" i="12" l="1"/>
  <c r="M118" i="12"/>
  <c r="N118" i="12" s="1"/>
  <c r="C119" i="12" s="1"/>
  <c r="K57" i="5"/>
  <c r="M57" i="5"/>
  <c r="K58" i="5"/>
  <c r="M119" i="12" l="1"/>
  <c r="N119" i="12" s="1"/>
  <c r="K119" i="12"/>
  <c r="N57" i="5"/>
  <c r="N58" i="5" s="1"/>
  <c r="C59" i="5" s="1"/>
  <c r="C120" i="12" l="1"/>
  <c r="K120" i="12" s="1"/>
  <c r="N120" i="12" s="1"/>
  <c r="C121" i="12"/>
  <c r="K121" i="12" s="1"/>
  <c r="N121" i="12" l="1"/>
  <c r="C122" i="12" s="1"/>
  <c r="M122" i="12" l="1"/>
  <c r="N122" i="12" s="1"/>
  <c r="C123" i="12" s="1"/>
  <c r="K122" i="12"/>
  <c r="K123" i="12" l="1"/>
  <c r="M123" i="12"/>
  <c r="N123" i="12" s="1"/>
  <c r="C124" i="12" s="1"/>
  <c r="K124" i="12" l="1"/>
  <c r="M124" i="12"/>
  <c r="N124" i="12" s="1"/>
  <c r="C125" i="12" l="1"/>
  <c r="K125" i="12" s="1"/>
  <c r="N125" i="12" s="1"/>
  <c r="C126" i="12" s="1"/>
  <c r="C128" i="12"/>
  <c r="C127" i="12"/>
  <c r="K127" i="12" s="1"/>
  <c r="C129" i="12"/>
  <c r="K129" i="12" s="1"/>
  <c r="K59" i="5"/>
  <c r="M59" i="5"/>
  <c r="K128" i="12" l="1"/>
  <c r="M128" i="12"/>
  <c r="K126" i="12"/>
  <c r="M126" i="12"/>
  <c r="N126" i="12" s="1"/>
  <c r="N127" i="12" s="1"/>
  <c r="C60" i="5"/>
  <c r="Q127" i="12" l="1"/>
  <c r="N128" i="12"/>
  <c r="N129" i="12" s="1"/>
  <c r="K60" i="5"/>
  <c r="M60" i="5"/>
  <c r="N60" i="5" s="1"/>
  <c r="Q129" i="12" l="1"/>
  <c r="Q128" i="12" s="1"/>
  <c r="C131" i="12"/>
  <c r="K131" i="12" s="1"/>
  <c r="C61" i="5"/>
  <c r="N131" i="12" l="1"/>
  <c r="C132" i="12" s="1"/>
  <c r="K61" i="5"/>
  <c r="M61" i="5"/>
  <c r="N61" i="5" s="1"/>
  <c r="K132" i="12" l="1"/>
  <c r="M132" i="12"/>
  <c r="N132" i="12" s="1"/>
  <c r="C62" i="5" l="1"/>
  <c r="M62" i="5" s="1"/>
  <c r="N62" i="5" s="1"/>
  <c r="C133" i="12"/>
  <c r="K133" i="12" s="1"/>
  <c r="N133" i="12" s="1"/>
  <c r="C134" i="12"/>
  <c r="K134" i="12" s="1"/>
  <c r="K62" i="5" l="1"/>
  <c r="N134" i="12"/>
  <c r="C135" i="12" s="1"/>
  <c r="M65" i="5"/>
  <c r="C63" i="5" l="1"/>
  <c r="K63" i="5" s="1"/>
  <c r="K135" i="12"/>
  <c r="M135" i="12"/>
  <c r="N135" i="12" s="1"/>
  <c r="C136" i="12" s="1"/>
  <c r="M63" i="5" l="1"/>
  <c r="M136" i="12"/>
  <c r="N136" i="12" s="1"/>
  <c r="C137" i="12" s="1"/>
  <c r="K137" i="12" s="1"/>
  <c r="N137" i="12" s="1"/>
  <c r="C138" i="12" s="1"/>
  <c r="K136" i="12"/>
  <c r="N63" i="5" l="1"/>
  <c r="M138" i="12"/>
  <c r="N138" i="12" s="1"/>
  <c r="C139" i="12" s="1"/>
  <c r="K139" i="12" s="1"/>
  <c r="N139" i="12" s="1"/>
  <c r="K138" i="12"/>
  <c r="M68" i="5"/>
  <c r="C65" i="5" l="1"/>
  <c r="K65" i="5" s="1"/>
  <c r="N65" i="5" s="1"/>
  <c r="C66" i="5" s="1"/>
  <c r="K66" i="5" s="1"/>
  <c r="N66" i="5" s="1"/>
  <c r="C67" i="5" s="1"/>
  <c r="M67" i="5" s="1"/>
  <c r="C140" i="12"/>
  <c r="K140" i="12" s="1"/>
  <c r="N140" i="12" s="1"/>
  <c r="C141" i="12"/>
  <c r="C142" i="12"/>
  <c r="K142" i="12" s="1"/>
  <c r="K67" i="5" l="1"/>
  <c r="M141" i="12"/>
  <c r="N141" i="12" s="1"/>
  <c r="N142" i="12" s="1"/>
  <c r="K141" i="12"/>
  <c r="C146" i="12"/>
  <c r="K146" i="12" s="1"/>
  <c r="C145" i="12"/>
  <c r="K145" i="12" s="1"/>
  <c r="C144" i="12"/>
  <c r="K144" i="12" s="1"/>
  <c r="C143" i="12"/>
  <c r="K143" i="12" s="1"/>
  <c r="N67" i="5"/>
  <c r="N143" i="12" l="1"/>
  <c r="N144" i="12" s="1"/>
  <c r="N145" i="12" s="1"/>
  <c r="N146" i="12" s="1"/>
  <c r="C68" i="5"/>
  <c r="K68" i="5" s="1"/>
  <c r="C148" i="12" l="1"/>
  <c r="Q146" i="12"/>
  <c r="Q145" i="12" s="1"/>
  <c r="Q144" i="12"/>
  <c r="N68" i="5"/>
  <c r="M69" i="5"/>
  <c r="M148" i="12" l="1"/>
  <c r="N148" i="12" s="1"/>
  <c r="C149" i="12" s="1"/>
  <c r="K149" i="12" s="1"/>
  <c r="N149" i="12" s="1"/>
  <c r="C150" i="12" s="1"/>
  <c r="K150" i="12" s="1"/>
  <c r="N150" i="12" s="1"/>
  <c r="C151" i="12" s="1"/>
  <c r="K151" i="12" s="1"/>
  <c r="N151" i="12" s="1"/>
  <c r="C152" i="12" s="1"/>
  <c r="K152" i="12" s="1"/>
  <c r="N152" i="12" s="1"/>
  <c r="C153" i="12" s="1"/>
  <c r="K148" i="12"/>
  <c r="K69" i="5"/>
  <c r="C70" i="5" s="1"/>
  <c r="M153" i="12" l="1"/>
  <c r="N153" i="12" s="1"/>
  <c r="C154" i="12" s="1"/>
  <c r="K153" i="12"/>
  <c r="K70" i="5"/>
  <c r="M70" i="5"/>
  <c r="N70" i="5" s="1"/>
  <c r="K154" i="12" l="1"/>
  <c r="M154" i="12"/>
  <c r="N154" i="12" s="1"/>
  <c r="C155" i="12" s="1"/>
  <c r="C71" i="5" l="1"/>
  <c r="M71" i="5" s="1"/>
  <c r="N71" i="5" s="1"/>
  <c r="M155" i="12"/>
  <c r="N155" i="12" s="1"/>
  <c r="C156" i="12" s="1"/>
  <c r="K156" i="12" s="1"/>
  <c r="N156" i="12" s="1"/>
  <c r="K155" i="12"/>
  <c r="M73" i="5"/>
  <c r="K71" i="5" l="1"/>
  <c r="C157" i="12"/>
  <c r="K157" i="12" s="1"/>
  <c r="N157" i="12" s="1"/>
  <c r="C158" i="12"/>
  <c r="K158" i="12" s="1"/>
  <c r="N158" i="12" l="1"/>
  <c r="C159" i="12" s="1"/>
  <c r="K159" i="12" s="1"/>
  <c r="C72" i="5"/>
  <c r="K72" i="5" s="1"/>
  <c r="M159" i="12" l="1"/>
  <c r="N159" i="12" s="1"/>
  <c r="C160" i="12" s="1"/>
  <c r="K160" i="12" s="1"/>
  <c r="M72" i="5"/>
  <c r="M76" i="5"/>
  <c r="M160" i="12" l="1"/>
  <c r="N160" i="12" s="1"/>
  <c r="C161" i="12" s="1"/>
  <c r="K161" i="12" s="1"/>
  <c r="N72" i="5"/>
  <c r="C73" i="5" s="1"/>
  <c r="K73" i="5" s="1"/>
  <c r="M161" i="12" l="1"/>
  <c r="N161" i="12" s="1"/>
  <c r="C162" i="12" s="1"/>
  <c r="M162" i="12" s="1"/>
  <c r="N162" i="12" s="1"/>
  <c r="N73" i="5"/>
  <c r="M78" i="5"/>
  <c r="K162" i="12" l="1"/>
  <c r="C75" i="5"/>
  <c r="C163" i="12"/>
  <c r="K163" i="12" s="1"/>
  <c r="N163" i="12" s="1"/>
  <c r="C164" i="12"/>
  <c r="K164" i="12" s="1"/>
  <c r="N164" i="12" l="1"/>
  <c r="C165" i="12" s="1"/>
  <c r="K165" i="12" s="1"/>
  <c r="N165" i="12" s="1"/>
  <c r="Q163" i="12" s="1"/>
  <c r="M75" i="5"/>
  <c r="K75" i="5"/>
  <c r="C76" i="5" s="1"/>
  <c r="K76" i="5" s="1"/>
  <c r="N76" i="5" s="1"/>
  <c r="C77" i="5" s="1"/>
  <c r="C167" i="12" l="1"/>
  <c r="K167" i="12" s="1"/>
  <c r="Q165" i="12"/>
  <c r="Q164" i="12" s="1"/>
  <c r="K77" i="5"/>
  <c r="M77" i="5"/>
  <c r="C78" i="5" s="1"/>
  <c r="K78" i="5" s="1"/>
  <c r="M80" i="5"/>
  <c r="N167" i="12" l="1"/>
  <c r="N78" i="5"/>
  <c r="C79" i="5" s="1"/>
  <c r="K79" i="5" s="1"/>
  <c r="N79" i="5" s="1"/>
  <c r="N80" i="5" s="1"/>
  <c r="C81" i="5" s="1"/>
  <c r="K80" i="5"/>
  <c r="C168" i="12" l="1"/>
  <c r="K168" i="12" s="1"/>
  <c r="C169" i="12"/>
  <c r="K169" i="12" s="1"/>
  <c r="K81" i="5"/>
  <c r="N168" i="12" l="1"/>
  <c r="N169" i="12" s="1"/>
  <c r="M81" i="5"/>
  <c r="C172" i="12" l="1"/>
  <c r="K172" i="12" s="1"/>
  <c r="C170" i="12"/>
  <c r="K170" i="12" s="1"/>
  <c r="C173" i="12"/>
  <c r="C171" i="12"/>
  <c r="K171" i="12" s="1"/>
  <c r="N81" i="5"/>
  <c r="C82" i="5" s="1"/>
  <c r="K173" i="12" l="1"/>
  <c r="K5" i="12" s="1"/>
  <c r="M173" i="12"/>
  <c r="N170" i="12"/>
  <c r="N171" i="12" s="1"/>
  <c r="N172" i="12" s="1"/>
  <c r="M82" i="5"/>
  <c r="K82" i="5"/>
  <c r="M5" i="12" l="1"/>
  <c r="O5" i="12" s="1"/>
  <c r="N173" i="12"/>
  <c r="Q171" i="12" s="1"/>
  <c r="N82" i="5"/>
  <c r="M84" i="5"/>
  <c r="Q173" i="12" l="1"/>
  <c r="Q172" i="12" s="1"/>
  <c r="C174" i="12"/>
  <c r="N174" i="12"/>
  <c r="C83" i="5"/>
  <c r="K83" i="5" s="1"/>
  <c r="N83" i="5" s="1"/>
  <c r="C84" i="5" l="1"/>
  <c r="K84" i="5" s="1"/>
  <c r="N84" i="5" s="1"/>
  <c r="M85" i="5"/>
  <c r="C85" i="5" l="1"/>
  <c r="M86" i="5"/>
  <c r="K85" i="5" l="1"/>
  <c r="N85" i="5" s="1"/>
  <c r="C86" i="5" s="1"/>
  <c r="K86" i="5" l="1"/>
  <c r="N86" i="5" s="1"/>
  <c r="C88" i="5" l="1"/>
  <c r="K88" i="5" s="1"/>
  <c r="M92" i="5"/>
  <c r="N88" i="5" l="1"/>
  <c r="C89" i="5" s="1"/>
  <c r="K89" i="5" s="1"/>
  <c r="N89" i="5" s="1"/>
  <c r="C90" i="5" s="1"/>
  <c r="M90" i="5" s="1"/>
  <c r="K90" i="5" l="1"/>
  <c r="N90" i="5" s="1"/>
  <c r="C91" i="5" s="1"/>
  <c r="M91" i="5" s="1"/>
  <c r="K91" i="5" l="1"/>
  <c r="N91" i="5" s="1"/>
  <c r="C92" i="5" l="1"/>
  <c r="K92" i="5" s="1"/>
  <c r="N92" i="5" s="1"/>
  <c r="K93" i="5" s="1"/>
  <c r="M93" i="5" l="1"/>
  <c r="C94" i="5" s="1"/>
  <c r="K94" i="5" l="1"/>
  <c r="M94" i="5"/>
  <c r="N94" i="5" s="1"/>
  <c r="C95" i="5" l="1"/>
  <c r="M95" i="5" s="1"/>
  <c r="N95" i="5" s="1"/>
  <c r="K95" i="5" l="1"/>
  <c r="C96" i="5" s="1"/>
  <c r="K96" i="5" s="1"/>
  <c r="N96" i="5" s="1"/>
  <c r="M98" i="5" l="1"/>
  <c r="K98" i="5" l="1"/>
  <c r="C99" i="5" s="1"/>
  <c r="M99" i="5" l="1"/>
  <c r="K99" i="5"/>
  <c r="N99" i="5" l="1"/>
  <c r="M103" i="5"/>
  <c r="C100" i="5" l="1"/>
  <c r="K100" i="5" s="1"/>
  <c r="N100" i="5" l="1"/>
  <c r="K101" i="5" l="1"/>
  <c r="M101" i="5"/>
  <c r="N101" i="5" s="1"/>
  <c r="C102" i="5" s="1"/>
  <c r="M106" i="5"/>
  <c r="K102" i="5" l="1"/>
  <c r="M102" i="5" l="1"/>
  <c r="N102" i="5" l="1"/>
  <c r="C103" i="5" l="1"/>
  <c r="K103" i="5" s="1"/>
  <c r="N103" i="5" s="1"/>
  <c r="C104" i="5" s="1"/>
  <c r="M104" i="5" l="1"/>
  <c r="N104" i="5" s="1"/>
  <c r="C105" i="5" s="1"/>
  <c r="K104" i="5"/>
  <c r="K105" i="5" l="1"/>
  <c r="N105" i="5" s="1"/>
  <c r="K108" i="5"/>
  <c r="M108" i="5"/>
  <c r="M112" i="5"/>
  <c r="C106" i="5" l="1"/>
  <c r="K106" i="5" s="1"/>
  <c r="N106" i="5" s="1"/>
  <c r="C109" i="5" l="1"/>
  <c r="K109" i="5" s="1"/>
  <c r="K110" i="5" l="1"/>
  <c r="N109" i="5"/>
  <c r="N110" i="5" l="1"/>
  <c r="C112" i="5" l="1"/>
  <c r="C111" i="5"/>
  <c r="K111" i="5" s="1"/>
  <c r="N111" i="5" s="1"/>
  <c r="K112" i="5" s="1"/>
  <c r="N112" i="5" s="1"/>
  <c r="M117" i="5"/>
  <c r="C114" i="5" l="1"/>
  <c r="K114" i="5" s="1"/>
  <c r="C113" i="5"/>
  <c r="K113" i="5" l="1"/>
  <c r="N113" i="5" s="1"/>
  <c r="M114" i="5" s="1"/>
  <c r="N114" i="5" s="1"/>
  <c r="M113" i="5"/>
  <c r="C115" i="5" l="1"/>
  <c r="C116" i="5"/>
  <c r="K115" i="5" l="1"/>
  <c r="M115" i="5"/>
  <c r="N115" i="5" s="1"/>
  <c r="K116" i="5" s="1"/>
  <c r="N116" i="5" s="1"/>
  <c r="C118" i="5" l="1"/>
  <c r="K118" i="5" s="1"/>
  <c r="N118" i="5" s="1"/>
  <c r="C119" i="5" s="1"/>
  <c r="C117" i="5"/>
  <c r="K117" i="5" s="1"/>
  <c r="N117" i="5" s="1"/>
  <c r="C120" i="5" l="1"/>
  <c r="K119" i="5"/>
  <c r="M119" i="5"/>
  <c r="N119" i="5" s="1"/>
  <c r="M120" i="5" l="1"/>
  <c r="N120" i="5" s="1"/>
  <c r="K120" i="5"/>
  <c r="C121" i="5" l="1"/>
  <c r="M121" i="5" s="1"/>
  <c r="C122" i="5"/>
  <c r="M122" i="5" s="1"/>
  <c r="K121" i="5" l="1"/>
  <c r="N121" i="5" s="1"/>
  <c r="K122" i="5" s="1"/>
  <c r="N122" i="5" l="1"/>
  <c r="C123" i="5" s="1"/>
  <c r="K123" i="5" s="1"/>
  <c r="N123" i="5" s="1"/>
  <c r="C124" i="5" l="1"/>
  <c r="K124" i="5" s="1"/>
  <c r="C126" i="5" s="1"/>
  <c r="K126" i="5" s="1"/>
  <c r="N126" i="5" s="1"/>
  <c r="C127" i="5" s="1"/>
  <c r="K127" i="5" s="1"/>
  <c r="N127" i="5" s="1"/>
  <c r="M5" i="5"/>
  <c r="K128" i="5"/>
  <c r="N128" i="5" s="1"/>
  <c r="K5" i="5" l="1"/>
  <c r="O5" i="5" s="1"/>
</calcChain>
</file>

<file path=xl/sharedStrings.xml><?xml version="1.0" encoding="utf-8"?>
<sst xmlns="http://schemas.openxmlformats.org/spreadsheetml/2006/main" count="840" uniqueCount="189">
  <si>
    <t>初期投資金額　</t>
    <rPh sb="0" eb="2">
      <t>ショキ</t>
    </rPh>
    <rPh sb="2" eb="4">
      <t>トウシ</t>
    </rPh>
    <rPh sb="4" eb="6">
      <t>キンガク</t>
    </rPh>
    <phoneticPr fontId="1"/>
  </si>
  <si>
    <t>損切り</t>
    <rPh sb="0" eb="2">
      <t>ソンギ</t>
    </rPh>
    <phoneticPr fontId="1"/>
  </si>
  <si>
    <t>売買</t>
    <rPh sb="0" eb="2">
      <t>バイバイ</t>
    </rPh>
    <phoneticPr fontId="1"/>
  </si>
  <si>
    <t>ロット</t>
    <phoneticPr fontId="1"/>
  </si>
  <si>
    <t>エントリー日時</t>
    <rPh sb="5" eb="7">
      <t>ニチジ</t>
    </rPh>
    <phoneticPr fontId="1"/>
  </si>
  <si>
    <t>エントリー価格</t>
    <rPh sb="5" eb="7">
      <t>カカク</t>
    </rPh>
    <phoneticPr fontId="1"/>
  </si>
  <si>
    <t>ストップ</t>
    <phoneticPr fontId="1"/>
  </si>
  <si>
    <t>決済日時</t>
    <rPh sb="0" eb="2">
      <t>ケッサイ</t>
    </rPh>
    <rPh sb="2" eb="4">
      <t>ニチジ</t>
    </rPh>
    <phoneticPr fontId="1"/>
  </si>
  <si>
    <t>決済価格</t>
    <rPh sb="0" eb="2">
      <t>ケッサイ</t>
    </rPh>
    <rPh sb="2" eb="4">
      <t>カカク</t>
    </rPh>
    <phoneticPr fontId="1"/>
  </si>
  <si>
    <t>利益pips</t>
    <rPh sb="0" eb="2">
      <t>リエキ</t>
    </rPh>
    <phoneticPr fontId="1"/>
  </si>
  <si>
    <t>損益pips</t>
    <rPh sb="0" eb="2">
      <t>ソンエキ</t>
    </rPh>
    <phoneticPr fontId="1"/>
  </si>
  <si>
    <t>※.1ロット＝10000通貨</t>
    <rPh sb="12" eb="14">
      <t>ツウカ</t>
    </rPh>
    <phoneticPr fontId="1"/>
  </si>
  <si>
    <t>リスクリワード</t>
    <phoneticPr fontId="1"/>
  </si>
  <si>
    <t>総資金</t>
    <rPh sb="0" eb="1">
      <t>ソウ</t>
    </rPh>
    <rPh sb="1" eb="3">
      <t>シキン</t>
    </rPh>
    <phoneticPr fontId="1"/>
  </si>
  <si>
    <t>利益額</t>
    <rPh sb="0" eb="2">
      <t>リエキ</t>
    </rPh>
    <rPh sb="2" eb="3">
      <t>ガク</t>
    </rPh>
    <phoneticPr fontId="1"/>
  </si>
  <si>
    <t>損益額</t>
    <rPh sb="0" eb="2">
      <t>ソンエキ</t>
    </rPh>
    <rPh sb="2" eb="3">
      <t>ガク</t>
    </rPh>
    <phoneticPr fontId="1"/>
  </si>
  <si>
    <t>勝率</t>
    <rPh sb="0" eb="2">
      <t>ショウリツ</t>
    </rPh>
    <phoneticPr fontId="1"/>
  </si>
  <si>
    <t>回数</t>
    <rPh sb="0" eb="2">
      <t>カイスウ</t>
    </rPh>
    <phoneticPr fontId="1"/>
  </si>
  <si>
    <t>総獲得pips</t>
    <rPh sb="0" eb="1">
      <t>ソウ</t>
    </rPh>
    <rPh sb="1" eb="3">
      <t>カクトク</t>
    </rPh>
    <phoneticPr fontId="1"/>
  </si>
  <si>
    <t>総利益</t>
    <rPh sb="0" eb="1">
      <t>ソウ</t>
    </rPh>
    <rPh sb="1" eb="3">
      <t>リエキ</t>
    </rPh>
    <phoneticPr fontId="1"/>
  </si>
  <si>
    <t>総損失pips</t>
    <rPh sb="0" eb="1">
      <t>ソウ</t>
    </rPh>
    <rPh sb="1" eb="3">
      <t>ソンシツ</t>
    </rPh>
    <phoneticPr fontId="1"/>
  </si>
  <si>
    <t>総損失</t>
    <rPh sb="0" eb="1">
      <t>ソウ</t>
    </rPh>
    <rPh sb="1" eb="3">
      <t>ソンシツ</t>
    </rPh>
    <phoneticPr fontId="1"/>
  </si>
  <si>
    <t>勝敗</t>
    <rPh sb="0" eb="2">
      <t>ショウハイ</t>
    </rPh>
    <phoneticPr fontId="1"/>
  </si>
  <si>
    <t>リスクリワード</t>
    <phoneticPr fontId="1"/>
  </si>
  <si>
    <t>最大連敗</t>
    <rPh sb="0" eb="2">
      <t>サイダイ</t>
    </rPh>
    <rPh sb="2" eb="4">
      <t>レンパイ</t>
    </rPh>
    <phoneticPr fontId="1"/>
  </si>
  <si>
    <t>総資産</t>
    <rPh sb="0" eb="3">
      <t>ソウシサン</t>
    </rPh>
    <phoneticPr fontId="1"/>
  </si>
  <si>
    <t>日足：</t>
    <rPh sb="0" eb="2">
      <t>ヒアシ</t>
    </rPh>
    <phoneticPr fontId="1"/>
  </si>
  <si>
    <t>GBPJPY</t>
    <phoneticPr fontId="1"/>
  </si>
  <si>
    <t>EURUSD</t>
    <phoneticPr fontId="1"/>
  </si>
  <si>
    <t>感想：</t>
    <rPh sb="0" eb="2">
      <t>カンソウ</t>
    </rPh>
    <phoneticPr fontId="1"/>
  </si>
  <si>
    <t>今後：</t>
    <rPh sb="0" eb="2">
      <t>コンゴ</t>
    </rPh>
    <phoneticPr fontId="1"/>
  </si>
  <si>
    <t>検証結果：　2005年～2008年までの間での検証を実施した
　　　　</t>
    <rPh sb="0" eb="2">
      <t>ケンショウ</t>
    </rPh>
    <rPh sb="2" eb="4">
      <t>ケッカ</t>
    </rPh>
    <rPh sb="10" eb="11">
      <t>ネン</t>
    </rPh>
    <rPh sb="16" eb="17">
      <t>ネン</t>
    </rPh>
    <rPh sb="20" eb="21">
      <t>アイダ</t>
    </rPh>
    <rPh sb="23" eb="25">
      <t>ケンショウ</t>
    </rPh>
    <rPh sb="26" eb="28">
      <t>ジッシ</t>
    </rPh>
    <phoneticPr fontId="1"/>
  </si>
  <si>
    <t>100トレードで32勝68敗、勝率32％。</t>
    <rPh sb="10" eb="11">
      <t>ショウ</t>
    </rPh>
    <rPh sb="13" eb="14">
      <t>ハイ</t>
    </rPh>
    <rPh sb="15" eb="17">
      <t>ショウリツ</t>
    </rPh>
    <phoneticPr fontId="1"/>
  </si>
  <si>
    <t>リスクリワード＝3.5</t>
    <phoneticPr fontId="1"/>
  </si>
  <si>
    <t>最大連敗9</t>
    <rPh sb="0" eb="2">
      <t>サイダイ</t>
    </rPh>
    <rPh sb="2" eb="4">
      <t>レンパイ</t>
    </rPh>
    <phoneticPr fontId="1"/>
  </si>
  <si>
    <t>最大利益　204853</t>
    <rPh sb="0" eb="2">
      <t>サイダイ</t>
    </rPh>
    <rPh sb="2" eb="4">
      <t>リエキ</t>
    </rPh>
    <phoneticPr fontId="1"/>
  </si>
  <si>
    <t>最大損益　48498</t>
    <rPh sb="0" eb="2">
      <t>サイダイ</t>
    </rPh>
    <rPh sb="2" eb="4">
      <t>ソンエキ</t>
    </rPh>
    <phoneticPr fontId="1"/>
  </si>
  <si>
    <t>最大ドローダウン　122969</t>
    <rPh sb="0" eb="2">
      <t>サイダイ</t>
    </rPh>
    <phoneticPr fontId="1"/>
  </si>
  <si>
    <t>ほぼ同条件にて約4倍のエントリー数</t>
    <rPh sb="2" eb="5">
      <t>ドウジョウケン</t>
    </rPh>
    <rPh sb="7" eb="8">
      <t>ヤク</t>
    </rPh>
    <rPh sb="9" eb="10">
      <t>バイ</t>
    </rPh>
    <rPh sb="16" eb="17">
      <t>スウ</t>
    </rPh>
    <phoneticPr fontId="1"/>
  </si>
  <si>
    <t>日足→240足にする事で、同じ期間での利益は減少するのではないか</t>
    <rPh sb="0" eb="2">
      <t>ヒアシ</t>
    </rPh>
    <rPh sb="6" eb="7">
      <t>アシ</t>
    </rPh>
    <rPh sb="10" eb="11">
      <t>コト</t>
    </rPh>
    <rPh sb="13" eb="14">
      <t>オナ</t>
    </rPh>
    <rPh sb="15" eb="17">
      <t>キカン</t>
    </rPh>
    <rPh sb="19" eb="21">
      <t>リエキ</t>
    </rPh>
    <rPh sb="22" eb="24">
      <t>ゲンショウ</t>
    </rPh>
    <phoneticPr fontId="1"/>
  </si>
  <si>
    <t>と、考えていたのでこの結果にびっくりしました。</t>
    <rPh sb="2" eb="3">
      <t>カンガ</t>
    </rPh>
    <rPh sb="11" eb="13">
      <t>ケッカ</t>
    </rPh>
    <phoneticPr fontId="1"/>
  </si>
  <si>
    <t>同期間のエントリー数：　日足 = ２３ 、 240分足 = 100</t>
    <rPh sb="0" eb="3">
      <t>ドウキカン</t>
    </rPh>
    <rPh sb="9" eb="10">
      <t>スウ</t>
    </rPh>
    <rPh sb="12" eb="14">
      <t>ヒアシ</t>
    </rPh>
    <rPh sb="25" eb="26">
      <t>フン</t>
    </rPh>
    <rPh sb="26" eb="27">
      <t>アシ</t>
    </rPh>
    <phoneticPr fontId="1"/>
  </si>
  <si>
    <t>資産は日足 = +2.2倍、240足 = +7倍</t>
    <rPh sb="0" eb="2">
      <t>シサン</t>
    </rPh>
    <rPh sb="3" eb="5">
      <t>ヒアシ</t>
    </rPh>
    <rPh sb="12" eb="13">
      <t>バイ</t>
    </rPh>
    <rPh sb="17" eb="18">
      <t>アシ</t>
    </rPh>
    <rPh sb="23" eb="24">
      <t>バイ</t>
    </rPh>
    <phoneticPr fontId="1"/>
  </si>
  <si>
    <t>勝率　→　日足 = 39% 、240分足 = 32%</t>
    <rPh sb="0" eb="2">
      <t>ショウリツ</t>
    </rPh>
    <rPh sb="5" eb="7">
      <t>ヒアシ</t>
    </rPh>
    <rPh sb="18" eb="19">
      <t>フン</t>
    </rPh>
    <rPh sb="19" eb="20">
      <t>アシ</t>
    </rPh>
    <phoneticPr fontId="1"/>
  </si>
  <si>
    <t>ただ、勝率は低くなっているのでエントリーエリアの絞り込みや</t>
    <rPh sb="3" eb="5">
      <t>ショウリツ</t>
    </rPh>
    <rPh sb="6" eb="7">
      <t>ヒク</t>
    </rPh>
    <rPh sb="24" eb="25">
      <t>シボ</t>
    </rPh>
    <rPh sb="26" eb="27">
      <t>コ</t>
    </rPh>
    <phoneticPr fontId="1"/>
  </si>
  <si>
    <t>トレーリングストップ位置（ダウ理論による）を修正する必要があると感じます。</t>
    <rPh sb="10" eb="12">
      <t>イチ</t>
    </rPh>
    <rPh sb="15" eb="17">
      <t>リロン</t>
    </rPh>
    <rPh sb="22" eb="24">
      <t>シュウセイ</t>
    </rPh>
    <rPh sb="26" eb="28">
      <t>ヒツヨウ</t>
    </rPh>
    <rPh sb="32" eb="33">
      <t>カン</t>
    </rPh>
    <phoneticPr fontId="1"/>
  </si>
  <si>
    <t>・２０pips利益出た時点で建値に</t>
    <rPh sb="7" eb="9">
      <t>リエキ</t>
    </rPh>
    <rPh sb="9" eb="10">
      <t>デ</t>
    </rPh>
    <rPh sb="11" eb="13">
      <t>ジテン</t>
    </rPh>
    <rPh sb="14" eb="16">
      <t>タテネ</t>
    </rPh>
    <phoneticPr fontId="1"/>
  </si>
  <si>
    <t>・レジサポにからんだPBでエントリー</t>
    <phoneticPr fontId="1"/>
  </si>
  <si>
    <t>・ストップ位置と１：１の利益が出たらストップ建値</t>
    <rPh sb="5" eb="7">
      <t>イチ</t>
    </rPh>
    <rPh sb="12" eb="14">
      <t>リエキ</t>
    </rPh>
    <rPh sb="15" eb="16">
      <t>デ</t>
    </rPh>
    <rPh sb="22" eb="24">
      <t>タテネ</t>
    </rPh>
    <phoneticPr fontId="1"/>
  </si>
  <si>
    <t>etc…</t>
    <phoneticPr fontId="1"/>
  </si>
  <si>
    <t>同通貨の240分足の検証を継続し、全期間の比較をしていきたいと思います。</t>
    <rPh sb="0" eb="1">
      <t>ドウ</t>
    </rPh>
    <rPh sb="1" eb="3">
      <t>ツウカ</t>
    </rPh>
    <rPh sb="7" eb="8">
      <t>フン</t>
    </rPh>
    <rPh sb="8" eb="9">
      <t>アシ</t>
    </rPh>
    <rPh sb="10" eb="12">
      <t>ケンショウ</t>
    </rPh>
    <rPh sb="13" eb="15">
      <t>ケイゾク</t>
    </rPh>
    <rPh sb="17" eb="20">
      <t>ゼンキカン</t>
    </rPh>
    <rPh sb="21" eb="23">
      <t>ヒカク</t>
    </rPh>
    <rPh sb="31" eb="32">
      <t>オモ</t>
    </rPh>
    <phoneticPr fontId="1"/>
  </si>
  <si>
    <t>とにかく時間がかかると思いますが、</t>
    <rPh sb="4" eb="6">
      <t>ジカン</t>
    </rPh>
    <rPh sb="11" eb="12">
      <t>オモ</t>
    </rPh>
    <phoneticPr fontId="1"/>
  </si>
  <si>
    <t>何か見えてくる事もあるはず・・・</t>
    <rPh sb="0" eb="1">
      <t>ナニ</t>
    </rPh>
    <rPh sb="2" eb="3">
      <t>ミ</t>
    </rPh>
    <rPh sb="7" eb="8">
      <t>コト</t>
    </rPh>
    <phoneticPr fontId="1"/>
  </si>
  <si>
    <t>GBPJPY　(2005～2012）</t>
    <phoneticPr fontId="1"/>
  </si>
  <si>
    <t>収支</t>
    <rPh sb="0" eb="2">
      <t>シュウシ</t>
    </rPh>
    <phoneticPr fontId="1"/>
  </si>
  <si>
    <t>買い_陽線</t>
    <rPh sb="0" eb="1">
      <t>カ</t>
    </rPh>
    <rPh sb="3" eb="4">
      <t>ヨウ</t>
    </rPh>
    <rPh sb="4" eb="5">
      <t>セン</t>
    </rPh>
    <phoneticPr fontId="1"/>
  </si>
  <si>
    <t>買い_陰線</t>
    <rPh sb="0" eb="1">
      <t>カ</t>
    </rPh>
    <rPh sb="3" eb="5">
      <t>インセン</t>
    </rPh>
    <phoneticPr fontId="1"/>
  </si>
  <si>
    <t>売り_陰線</t>
    <rPh sb="0" eb="1">
      <t>ウ</t>
    </rPh>
    <rPh sb="3" eb="5">
      <t>インセン</t>
    </rPh>
    <phoneticPr fontId="1"/>
  </si>
  <si>
    <t>売り_陽線</t>
    <rPh sb="0" eb="1">
      <t>ウ</t>
    </rPh>
    <rPh sb="3" eb="4">
      <t>ヨウ</t>
    </rPh>
    <rPh sb="4" eb="5">
      <t>セン</t>
    </rPh>
    <phoneticPr fontId="1"/>
  </si>
  <si>
    <t>検証結果：</t>
    <rPh sb="0" eb="2">
      <t>ケンショウ</t>
    </rPh>
    <rPh sb="2" eb="4">
      <t>ケッカ</t>
    </rPh>
    <phoneticPr fontId="1"/>
  </si>
  <si>
    <t>2005～2012間の検証を実施</t>
    <rPh sb="9" eb="10">
      <t>カン</t>
    </rPh>
    <rPh sb="11" eb="13">
      <t>ケンショウ</t>
    </rPh>
    <rPh sb="14" eb="16">
      <t>ジッシ</t>
    </rPh>
    <phoneticPr fontId="1"/>
  </si>
  <si>
    <t>エントリー数：　日足=５５　240足 = 201</t>
    <rPh sb="5" eb="6">
      <t>スウ</t>
    </rPh>
    <rPh sb="8" eb="10">
      <t>ヒアシ</t>
    </rPh>
    <rPh sb="17" eb="18">
      <t>アシ</t>
    </rPh>
    <phoneticPr fontId="1"/>
  </si>
  <si>
    <t>総資産 日足 = 7倍　240足 = 250倍</t>
    <rPh sb="0" eb="3">
      <t>ソウシサン</t>
    </rPh>
    <rPh sb="4" eb="6">
      <t>ヒアシ</t>
    </rPh>
    <rPh sb="10" eb="11">
      <t>バイ</t>
    </rPh>
    <rPh sb="15" eb="16">
      <t>アシ</t>
    </rPh>
    <rPh sb="22" eb="23">
      <t>バイ</t>
    </rPh>
    <phoneticPr fontId="1"/>
  </si>
  <si>
    <t>勝率 → 日足 = 40%  240足 = 38％</t>
    <rPh sb="0" eb="2">
      <t>ショウリツ</t>
    </rPh>
    <rPh sb="5" eb="7">
      <t>ヒアシ</t>
    </rPh>
    <rPh sb="18" eb="19">
      <t>アシ</t>
    </rPh>
    <phoneticPr fontId="1"/>
  </si>
  <si>
    <t>（ロット数100を超えている為、現実的ではない）</t>
    <rPh sb="4" eb="5">
      <t>スウ</t>
    </rPh>
    <rPh sb="9" eb="10">
      <t>コ</t>
    </rPh>
    <rPh sb="14" eb="15">
      <t>タメ</t>
    </rPh>
    <rPh sb="16" eb="19">
      <t>ゲンジツテキ</t>
    </rPh>
    <phoneticPr fontId="1"/>
  </si>
  <si>
    <t>201トレードで78勝120敗3引き分け、勝率38%</t>
    <rPh sb="10" eb="11">
      <t>ショウ</t>
    </rPh>
    <rPh sb="14" eb="15">
      <t>ハイ</t>
    </rPh>
    <rPh sb="16" eb="17">
      <t>ヒ</t>
    </rPh>
    <rPh sb="18" eb="19">
      <t>ワ</t>
    </rPh>
    <rPh sb="21" eb="23">
      <t>ショウリツ</t>
    </rPh>
    <phoneticPr fontId="1"/>
  </si>
  <si>
    <t>また、エントリー後20pipsの利益確定後</t>
    <rPh sb="8" eb="9">
      <t>ゴ</t>
    </rPh>
    <rPh sb="16" eb="18">
      <t>リエキ</t>
    </rPh>
    <rPh sb="18" eb="20">
      <t>カクテイ</t>
    </rPh>
    <rPh sb="20" eb="21">
      <t>ゴ</t>
    </rPh>
    <phoneticPr fontId="1"/>
  </si>
  <si>
    <t>ストップを建値に移動した場合の検証も行った。</t>
    <rPh sb="5" eb="7">
      <t>タテネ</t>
    </rPh>
    <rPh sb="8" eb="10">
      <t>イドウ</t>
    </rPh>
    <rPh sb="12" eb="14">
      <t>バアイ</t>
    </rPh>
    <rPh sb="15" eb="17">
      <t>ケンショウ</t>
    </rPh>
    <rPh sb="18" eb="19">
      <t>オコナ</t>
    </rPh>
    <phoneticPr fontId="1"/>
  </si>
  <si>
    <t>2009～2012間の検証を実施</t>
    <rPh sb="9" eb="10">
      <t>カン</t>
    </rPh>
    <rPh sb="11" eb="13">
      <t>ケンショウ</t>
    </rPh>
    <rPh sb="14" eb="16">
      <t>ジッシ</t>
    </rPh>
    <phoneticPr fontId="1"/>
  </si>
  <si>
    <t>31勝28敗37引き分け、勝率34％</t>
    <rPh sb="2" eb="3">
      <t>ショウ</t>
    </rPh>
    <rPh sb="5" eb="6">
      <t>ハイ</t>
    </rPh>
    <rPh sb="8" eb="9">
      <t>ヒ</t>
    </rPh>
    <rPh sb="10" eb="11">
      <t>ワ</t>
    </rPh>
    <rPh sb="13" eb="15">
      <t>ショウリツ</t>
    </rPh>
    <phoneticPr fontId="1"/>
  </si>
  <si>
    <t>総資産</t>
    <rPh sb="0" eb="3">
      <t>ソウシサン</t>
    </rPh>
    <phoneticPr fontId="1"/>
  </si>
  <si>
    <t>ストップ変更前 ： ストップ変更後　＝　37倍 ： 19.4倍</t>
    <rPh sb="22" eb="23">
      <t>バイ</t>
    </rPh>
    <rPh sb="30" eb="31">
      <t>バイ</t>
    </rPh>
    <phoneticPr fontId="1"/>
  </si>
  <si>
    <t>ストップ変更前</t>
    <rPh sb="4" eb="6">
      <t>ヘンコウ</t>
    </rPh>
    <rPh sb="6" eb="7">
      <t>マエ</t>
    </rPh>
    <phoneticPr fontId="1"/>
  </si>
  <si>
    <t>ストップ変更後</t>
    <rPh sb="4" eb="6">
      <t>ヘンコウ</t>
    </rPh>
    <rPh sb="6" eb="7">
      <t>ゴ</t>
    </rPh>
    <phoneticPr fontId="1"/>
  </si>
  <si>
    <t>42勝56敗0引き分け、勝率43％</t>
    <rPh sb="2" eb="3">
      <t>ショウ</t>
    </rPh>
    <rPh sb="5" eb="6">
      <t>ハイ</t>
    </rPh>
    <rPh sb="7" eb="8">
      <t>ヒ</t>
    </rPh>
    <rPh sb="9" eb="10">
      <t>ワ</t>
    </rPh>
    <rPh sb="12" eb="14">
      <t>ショウリツ</t>
    </rPh>
    <phoneticPr fontId="1"/>
  </si>
  <si>
    <t>感想：</t>
    <rPh sb="0" eb="2">
      <t>カンソウ</t>
    </rPh>
    <phoneticPr fontId="1"/>
  </si>
  <si>
    <t>検証を続けていくにつれて仕掛け１ではトータルでは</t>
    <rPh sb="0" eb="2">
      <t>ケンショウ</t>
    </rPh>
    <rPh sb="3" eb="4">
      <t>ツヅ</t>
    </rPh>
    <rPh sb="12" eb="14">
      <t>シカ</t>
    </rPh>
    <phoneticPr fontId="1"/>
  </si>
  <si>
    <t>プラス収支になる事が確認できた。</t>
    <rPh sb="3" eb="5">
      <t>シュウシ</t>
    </rPh>
    <rPh sb="8" eb="9">
      <t>コト</t>
    </rPh>
    <rPh sb="10" eb="12">
      <t>カクニン</t>
    </rPh>
    <phoneticPr fontId="1"/>
  </si>
  <si>
    <t>ストップ位置を変更する検証では、負け数が半減したが</t>
    <rPh sb="4" eb="6">
      <t>イチ</t>
    </rPh>
    <rPh sb="7" eb="9">
      <t>ヘンコウ</t>
    </rPh>
    <rPh sb="11" eb="13">
      <t>ケンショウ</t>
    </rPh>
    <rPh sb="16" eb="17">
      <t>マ</t>
    </rPh>
    <rPh sb="18" eb="19">
      <t>スウ</t>
    </rPh>
    <rPh sb="20" eb="22">
      <t>ハンゲン</t>
    </rPh>
    <phoneticPr fontId="1"/>
  </si>
  <si>
    <t>大きくプラス収支になる局面で建値ストップをして取り切れない時が</t>
    <rPh sb="0" eb="1">
      <t>オオ</t>
    </rPh>
    <rPh sb="6" eb="8">
      <t>シュウシ</t>
    </rPh>
    <rPh sb="11" eb="13">
      <t>キョクメン</t>
    </rPh>
    <rPh sb="14" eb="16">
      <t>タテネ</t>
    </rPh>
    <rPh sb="23" eb="24">
      <t>ト</t>
    </rPh>
    <rPh sb="25" eb="26">
      <t>キ</t>
    </rPh>
    <rPh sb="29" eb="30">
      <t>トキ</t>
    </rPh>
    <phoneticPr fontId="1"/>
  </si>
  <si>
    <t>よくあり、さらに３年間の資産も半減とあまり好ましくない</t>
    <rPh sb="9" eb="11">
      <t>ネンカン</t>
    </rPh>
    <rPh sb="12" eb="14">
      <t>シサン</t>
    </rPh>
    <rPh sb="15" eb="17">
      <t>ハンゲン</t>
    </rPh>
    <rPh sb="21" eb="22">
      <t>コノ</t>
    </rPh>
    <phoneticPr fontId="1"/>
  </si>
  <si>
    <t>続けていく為のメンタルを保つためには良いかもしれないが・・・</t>
    <rPh sb="0" eb="1">
      <t>ツヅ</t>
    </rPh>
    <rPh sb="5" eb="6">
      <t>タメ</t>
    </rPh>
    <rPh sb="12" eb="13">
      <t>タモ</t>
    </rPh>
    <rPh sb="18" eb="19">
      <t>ヨ</t>
    </rPh>
    <phoneticPr fontId="1"/>
  </si>
  <si>
    <t>　また、陽線・陰線での検証もやってみたが</t>
    <rPh sb="4" eb="5">
      <t>ヨウ</t>
    </rPh>
    <rPh sb="5" eb="6">
      <t>セン</t>
    </rPh>
    <rPh sb="7" eb="9">
      <t>インセン</t>
    </rPh>
    <rPh sb="11" eb="13">
      <t>ケンショウ</t>
    </rPh>
    <phoneticPr fontId="1"/>
  </si>
  <si>
    <t>・・・勝率が悪い方が収支は高くなる？</t>
    <rPh sb="3" eb="5">
      <t>ショウリツ</t>
    </rPh>
    <rPh sb="6" eb="7">
      <t>ワル</t>
    </rPh>
    <rPh sb="8" eb="9">
      <t>ホウ</t>
    </rPh>
    <rPh sb="10" eb="12">
      <t>シュウシ</t>
    </rPh>
    <rPh sb="13" eb="14">
      <t>タカ</t>
    </rPh>
    <phoneticPr fontId="1"/>
  </si>
  <si>
    <t>勝率上げると利益率が低くなるの？</t>
    <rPh sb="0" eb="2">
      <t>ショウリツ</t>
    </rPh>
    <rPh sb="2" eb="3">
      <t>ア</t>
    </rPh>
    <rPh sb="6" eb="8">
      <t>リエキ</t>
    </rPh>
    <rPh sb="8" eb="9">
      <t>リツ</t>
    </rPh>
    <rPh sb="10" eb="11">
      <t>ヒク</t>
    </rPh>
    <phoneticPr fontId="1"/>
  </si>
  <si>
    <t>よくわからなかった。</t>
    <phoneticPr fontId="1"/>
  </si>
  <si>
    <t>今後：</t>
    <rPh sb="0" eb="2">
      <t>コンゴ</t>
    </rPh>
    <phoneticPr fontId="1"/>
  </si>
  <si>
    <t>240足での検証を続ける予定でしたが、</t>
    <rPh sb="3" eb="4">
      <t>アシ</t>
    </rPh>
    <rPh sb="6" eb="8">
      <t>ケンショウ</t>
    </rPh>
    <rPh sb="9" eb="10">
      <t>ツヅ</t>
    </rPh>
    <rPh sb="12" eb="14">
      <t>ヨテイ</t>
    </rPh>
    <phoneticPr fontId="1"/>
  </si>
  <si>
    <t>今月の課題が終わりそうもないので</t>
    <rPh sb="0" eb="2">
      <t>コンゲツ</t>
    </rPh>
    <rPh sb="3" eb="5">
      <t>カダイ</t>
    </rPh>
    <rPh sb="6" eb="7">
      <t>オ</t>
    </rPh>
    <phoneticPr fontId="1"/>
  </si>
  <si>
    <t>まずは、60足での検証を実施する。</t>
    <rPh sb="6" eb="7">
      <t>アシ</t>
    </rPh>
    <rPh sb="9" eb="11">
      <t>ケンショウ</t>
    </rPh>
    <rPh sb="12" eb="14">
      <t>ジッシ</t>
    </rPh>
    <phoneticPr fontId="1"/>
  </si>
  <si>
    <t>ただ、2009年はどちらのストップ位置でもマイナス収支となった</t>
    <rPh sb="7" eb="8">
      <t>ネン</t>
    </rPh>
    <rPh sb="17" eb="19">
      <t>イチ</t>
    </rPh>
    <rPh sb="25" eb="27">
      <t>シュウシ</t>
    </rPh>
    <phoneticPr fontId="1"/>
  </si>
  <si>
    <t>エントリー位置の改善でプラスになる？</t>
    <rPh sb="5" eb="7">
      <t>イチ</t>
    </rPh>
    <rPh sb="8" eb="10">
      <t>カイゼン</t>
    </rPh>
    <phoneticPr fontId="1"/>
  </si>
  <si>
    <t>時間足を短くすればプラスになる？</t>
    <rPh sb="0" eb="2">
      <t>ジカン</t>
    </rPh>
    <rPh sb="2" eb="3">
      <t>アシ</t>
    </rPh>
    <rPh sb="4" eb="5">
      <t>ミジカ</t>
    </rPh>
    <phoneticPr fontId="1"/>
  </si>
  <si>
    <t>2009年で実施しようと思います。</t>
    <rPh sb="4" eb="5">
      <t>ネン</t>
    </rPh>
    <rPh sb="6" eb="8">
      <t>ジッシ</t>
    </rPh>
    <rPh sb="12" eb="13">
      <t>オモ</t>
    </rPh>
    <phoneticPr fontId="1"/>
  </si>
  <si>
    <t>PB（MAサポレジ）</t>
    <phoneticPr fontId="1"/>
  </si>
  <si>
    <t>240分足</t>
    <rPh sb="3" eb="4">
      <t>フン</t>
    </rPh>
    <rPh sb="4" eb="5">
      <t>アシ</t>
    </rPh>
    <phoneticPr fontId="1"/>
  </si>
  <si>
    <t>60分足</t>
    <rPh sb="2" eb="3">
      <t>フン</t>
    </rPh>
    <rPh sb="3" eb="4">
      <t>アシ</t>
    </rPh>
    <phoneticPr fontId="1"/>
  </si>
  <si>
    <t>GBPJPY(2009)</t>
    <phoneticPr fontId="1"/>
  </si>
  <si>
    <t>Engulfing Bar</t>
    <phoneticPr fontId="1"/>
  </si>
  <si>
    <t>検証結果：</t>
    <rPh sb="0" eb="2">
      <t>ケンショウ</t>
    </rPh>
    <rPh sb="2" eb="4">
      <t>ケッカ</t>
    </rPh>
    <phoneticPr fontId="1"/>
  </si>
  <si>
    <t>2009年の検証を実施</t>
    <rPh sb="4" eb="5">
      <t>ネン</t>
    </rPh>
    <rPh sb="6" eb="8">
      <t>ケンショウ</t>
    </rPh>
    <rPh sb="9" eb="11">
      <t>ジッシ</t>
    </rPh>
    <phoneticPr fontId="1"/>
  </si>
  <si>
    <t>144トレードで68勝75敗1引き分け</t>
    <rPh sb="10" eb="11">
      <t>ショウ</t>
    </rPh>
    <rPh sb="13" eb="14">
      <t>ハイ</t>
    </rPh>
    <rPh sb="15" eb="16">
      <t>ヒ</t>
    </rPh>
    <rPh sb="17" eb="18">
      <t>ワ</t>
    </rPh>
    <phoneticPr fontId="1"/>
  </si>
  <si>
    <t>エントリー数：　日足=8　240足 = 23　60分足 = 144</t>
    <rPh sb="5" eb="6">
      <t>スウ</t>
    </rPh>
    <rPh sb="8" eb="10">
      <t>ヒアシ</t>
    </rPh>
    <rPh sb="16" eb="17">
      <t>アシ</t>
    </rPh>
    <rPh sb="25" eb="26">
      <t>フン</t>
    </rPh>
    <rPh sb="26" eb="27">
      <t>アシ</t>
    </rPh>
    <phoneticPr fontId="1"/>
  </si>
  <si>
    <t>総資産 日足 = 1.12倍　240足 = 0.86倍  60分足 = 145.95倍</t>
    <rPh sb="0" eb="3">
      <t>ソウシサン</t>
    </rPh>
    <rPh sb="4" eb="6">
      <t>ヒアシ</t>
    </rPh>
    <rPh sb="13" eb="14">
      <t>バイ</t>
    </rPh>
    <rPh sb="18" eb="19">
      <t>アシ</t>
    </rPh>
    <rPh sb="26" eb="27">
      <t>バイ</t>
    </rPh>
    <rPh sb="31" eb="32">
      <t>フン</t>
    </rPh>
    <rPh sb="32" eb="33">
      <t>アシ</t>
    </rPh>
    <rPh sb="42" eb="43">
      <t>バイ</t>
    </rPh>
    <phoneticPr fontId="1"/>
  </si>
  <si>
    <t>勝率 → 日足 = 40%  240足 = 38％　60分足 = 48%</t>
    <rPh sb="0" eb="2">
      <t>ショウリツ</t>
    </rPh>
    <rPh sb="5" eb="7">
      <t>ヒアシ</t>
    </rPh>
    <rPh sb="18" eb="19">
      <t>アシ</t>
    </rPh>
    <rPh sb="28" eb="29">
      <t>フン</t>
    </rPh>
    <rPh sb="29" eb="30">
      <t>アシ</t>
    </rPh>
    <phoneticPr fontId="1"/>
  </si>
  <si>
    <t>今回も特に単純にMAサポートでのPBエントリー</t>
    <rPh sb="0" eb="2">
      <t>コンカイ</t>
    </rPh>
    <rPh sb="3" eb="4">
      <t>トク</t>
    </rPh>
    <rPh sb="5" eb="7">
      <t>タンジュン</t>
    </rPh>
    <phoneticPr fontId="1"/>
  </si>
  <si>
    <t>→トレーリングストップでの決済を検証してみたが</t>
    <rPh sb="13" eb="15">
      <t>ケッサイ</t>
    </rPh>
    <rPh sb="16" eb="18">
      <t>ケンショウ</t>
    </rPh>
    <phoneticPr fontId="1"/>
  </si>
  <si>
    <t>240分足では同期間でマイナス収支であったものが、</t>
    <rPh sb="3" eb="4">
      <t>フン</t>
    </rPh>
    <rPh sb="4" eb="5">
      <t>アシ</t>
    </rPh>
    <rPh sb="7" eb="10">
      <t>ドウキカン</t>
    </rPh>
    <rPh sb="15" eb="17">
      <t>シュウシ</t>
    </rPh>
    <phoneticPr fontId="1"/>
  </si>
  <si>
    <t>かなりのでプラス収支で幕を閉じた。</t>
    <rPh sb="8" eb="10">
      <t>シュウシ</t>
    </rPh>
    <rPh sb="11" eb="12">
      <t>マク</t>
    </rPh>
    <rPh sb="13" eb="14">
      <t>ト</t>
    </rPh>
    <phoneticPr fontId="1"/>
  </si>
  <si>
    <t>60分足では68勝のうち、22トレードが50pips以内で勝っている。</t>
    <rPh sb="2" eb="3">
      <t>フン</t>
    </rPh>
    <rPh sb="3" eb="4">
      <t>アシ</t>
    </rPh>
    <rPh sb="8" eb="9">
      <t>ショウ</t>
    </rPh>
    <rPh sb="26" eb="28">
      <t>イナイ</t>
    </rPh>
    <rPh sb="29" eb="30">
      <t>カ</t>
    </rPh>
    <phoneticPr fontId="1"/>
  </si>
  <si>
    <t>4時間足ではエントリー後、5つ前後のロウソク足でストップにひっかかっていたが</t>
    <rPh sb="1" eb="3">
      <t>ジカン</t>
    </rPh>
    <rPh sb="3" eb="4">
      <t>アシ</t>
    </rPh>
    <rPh sb="11" eb="12">
      <t>ゴ</t>
    </rPh>
    <rPh sb="15" eb="17">
      <t>ゼンゴ</t>
    </rPh>
    <rPh sb="22" eb="23">
      <t>アシ</t>
    </rPh>
    <phoneticPr fontId="1"/>
  </si>
  <si>
    <t>60分足ではその中での動きに対応できたためだと考えられる。</t>
    <rPh sb="2" eb="3">
      <t>フン</t>
    </rPh>
    <rPh sb="3" eb="4">
      <t>アシ</t>
    </rPh>
    <rPh sb="8" eb="9">
      <t>ナカ</t>
    </rPh>
    <rPh sb="11" eb="12">
      <t>ウゴ</t>
    </rPh>
    <rPh sb="14" eb="16">
      <t>タイオウ</t>
    </rPh>
    <rPh sb="23" eb="24">
      <t>カンガ</t>
    </rPh>
    <phoneticPr fontId="1"/>
  </si>
  <si>
    <t>つまり、３つの時間足での検証結果は60足でのトレードが</t>
    <rPh sb="7" eb="9">
      <t>ジカン</t>
    </rPh>
    <rPh sb="9" eb="10">
      <t>アシ</t>
    </rPh>
    <rPh sb="12" eb="14">
      <t>ケンショウ</t>
    </rPh>
    <rPh sb="14" eb="16">
      <t>ケッカ</t>
    </rPh>
    <rPh sb="19" eb="20">
      <t>アシ</t>
    </rPh>
    <phoneticPr fontId="1"/>
  </si>
  <si>
    <t>一番有効であると思う。</t>
    <phoneticPr fontId="1"/>
  </si>
  <si>
    <t>但し、今の生活リズムでは60分毎のエントリーや決済は難しいため</t>
    <rPh sb="0" eb="1">
      <t>タダ</t>
    </rPh>
    <rPh sb="3" eb="4">
      <t>イマ</t>
    </rPh>
    <rPh sb="5" eb="7">
      <t>セイカツ</t>
    </rPh>
    <rPh sb="14" eb="15">
      <t>フン</t>
    </rPh>
    <rPh sb="15" eb="16">
      <t>ゴト</t>
    </rPh>
    <rPh sb="23" eb="25">
      <t>ケッサイ</t>
    </rPh>
    <rPh sb="26" eb="27">
      <t>ムズカ</t>
    </rPh>
    <phoneticPr fontId="1"/>
  </si>
  <si>
    <t>やはり日足、240分でのシステム構築をし</t>
    <rPh sb="3" eb="5">
      <t>ヒアシ</t>
    </rPh>
    <rPh sb="9" eb="10">
      <t>フン</t>
    </rPh>
    <rPh sb="16" eb="18">
      <t>コウチク</t>
    </rPh>
    <phoneticPr fontId="1"/>
  </si>
  <si>
    <t>それを精査するのが必要だと考える。</t>
    <rPh sb="3" eb="5">
      <t>セイサ</t>
    </rPh>
    <rPh sb="9" eb="11">
      <t>ヒツヨウ</t>
    </rPh>
    <rPh sb="13" eb="14">
      <t>カンガ</t>
    </rPh>
    <phoneticPr fontId="1"/>
  </si>
  <si>
    <t>「仕掛け1」の課題がひと段落したため、</t>
    <rPh sb="1" eb="3">
      <t>シカ</t>
    </rPh>
    <rPh sb="7" eb="9">
      <t>カダイ</t>
    </rPh>
    <rPh sb="12" eb="14">
      <t>ダンラク</t>
    </rPh>
    <phoneticPr fontId="1"/>
  </si>
  <si>
    <t>「仕掛け2」の検証を同通貨で実施していく</t>
    <rPh sb="1" eb="3">
      <t>シカ</t>
    </rPh>
    <rPh sb="7" eb="9">
      <t>ケンショウ</t>
    </rPh>
    <rPh sb="10" eb="11">
      <t>ドウ</t>
    </rPh>
    <rPh sb="11" eb="13">
      <t>ツウカ</t>
    </rPh>
    <rPh sb="14" eb="16">
      <t>ジッシ</t>
    </rPh>
    <phoneticPr fontId="1"/>
  </si>
  <si>
    <t>買</t>
    <rPh sb="0" eb="1">
      <t>カ</t>
    </rPh>
    <phoneticPr fontId="1"/>
  </si>
  <si>
    <t>売</t>
    <rPh sb="0" eb="1">
      <t>ウ</t>
    </rPh>
    <phoneticPr fontId="1"/>
  </si>
  <si>
    <t>2005年</t>
    <rPh sb="4" eb="5">
      <t>ネン</t>
    </rPh>
    <phoneticPr fontId="1"/>
  </si>
  <si>
    <t>勝</t>
    <rPh sb="0" eb="1">
      <t>カ</t>
    </rPh>
    <phoneticPr fontId="1"/>
  </si>
  <si>
    <t>負</t>
    <rPh sb="0" eb="1">
      <t>マ</t>
    </rPh>
    <phoneticPr fontId="1"/>
  </si>
  <si>
    <t>2006年</t>
    <rPh sb="4" eb="5">
      <t>ネン</t>
    </rPh>
    <phoneticPr fontId="1"/>
  </si>
  <si>
    <t>１．移動平均線の１０SMAと２０SＭＡ、両⽅の上にキャンドルがあれば買 い⽅向、下なら売り⽅向。</t>
  </si>
  <si>
    <t>２．MAに触って（またいでもOK）、EBが出現したらエントリー待ち。</t>
  </si>
  <si>
    <t>３．EBのエントリールール成⽴（EB⾼値／安値ブレイク）で、エントリー</t>
  </si>
  <si>
    <t>４．ストップはEBのストップ（EB安値／⾼値）</t>
  </si>
  <si>
    <r>
      <t>５．決済はストップをあげる／さげる。  
　　　</t>
    </r>
    <r>
      <rPr>
        <b/>
        <sz val="11"/>
        <color rgb="FFFF0000"/>
        <rFont val="ＭＳ Ｐゴシック"/>
        <family val="3"/>
        <charset val="128"/>
      </rPr>
      <t>a.ダウ理論で動かす</t>
    </r>
    <r>
      <rPr>
        <sz val="11"/>
        <color indexed="8"/>
        <rFont val="ＭＳ Ｐゴシック"/>
        <family val="3"/>
        <charset val="128"/>
      </rPr>
      <t>   b.EBがまた出たら（エントリー条件をみたしたら）動かす   
　　　c.EB,PB,ダウ理論が出たら動かす</t>
    </r>
    <phoneticPr fontId="1"/>
  </si>
  <si>
    <t>2005～2006年8月までの検証</t>
  </si>
  <si>
    <t>　トレード回数：PB10回、EB21回</t>
  </si>
  <si>
    <t>　勝率：PB３０％、EB６７％</t>
  </si>
  <si>
    <t>　利益：PB：２１．６％、EB２１７．４％</t>
  </si>
  <si>
    <t>（感想）</t>
  </si>
  <si>
    <t>・仕掛け1も仕掛け2もMAサポート時のエントリー検証では、</t>
  </si>
  <si>
    <t>　勝率も利益率もよく、このまま実践に入っても勝てるのではないかな！？</t>
  </si>
  <si>
    <t>　と、率直に思いました。（・・・やりませんが（笑））</t>
  </si>
  <si>
    <t>本日のセミナーでも根崎さんが言われていたように、</t>
  </si>
  <si>
    <t>　「仕掛けの根本にはダウ理論の根拠が存在する」</t>
  </si>
  <si>
    <t>　（言葉は違ったと思いますが、内容はたぶん・・・）</t>
  </si>
  <si>
    <t>仕掛け２にをやり始めてからすぐに</t>
  </si>
  <si>
    <t>　前回高値（安値）から戻って、高値（安値）更新する前に仕掛けが出現！</t>
  </si>
  <si>
    <t>　ダウ理論のトレンドにうまく乗れているような実感がありました。</t>
  </si>
  <si>
    <t>　オシレーター？インジケーター？等は使い方もよくわからない事もありますが、</t>
  </si>
  <si>
    <t>　まずは、ダウ理論を理解していく事から始めていこうと思います。</t>
  </si>
  <si>
    <t>（質問）</t>
  </si>
  <si>
    <t>　手法の確認をお願いいたします。</t>
  </si>
  <si>
    <t>＜PB検証＞</t>
  </si>
  <si>
    <t>10回中→1,2回に大きいものが来る</t>
  </si>
  <si>
    <t>　フィルターをかけることによって、</t>
  </si>
  <si>
    <t>　５回中→３回程になるようにしていく</t>
  </si>
  <si>
    <t>　セミナーで言われていたことですが、</t>
  </si>
  <si>
    <t>　自分のシステムを構築していく事ははじめれていないので</t>
  </si>
  <si>
    <t>　仕掛け2の検証終了次第やっていきます。</t>
  </si>
  <si>
    <t>2007年</t>
    <rPh sb="4" eb="5">
      <t>ネン</t>
    </rPh>
    <phoneticPr fontId="1"/>
  </si>
  <si>
    <t>2008年</t>
    <rPh sb="4" eb="5">
      <t>ネン</t>
    </rPh>
    <phoneticPr fontId="1"/>
  </si>
  <si>
    <t>2009年</t>
    <rPh sb="4" eb="5">
      <t>ネン</t>
    </rPh>
    <phoneticPr fontId="1"/>
  </si>
  <si>
    <t>2010年</t>
    <rPh sb="4" eb="5">
      <t>ネン</t>
    </rPh>
    <phoneticPr fontId="1"/>
  </si>
  <si>
    <t>2011年</t>
    <rPh sb="4" eb="5">
      <t>ネン</t>
    </rPh>
    <phoneticPr fontId="1"/>
  </si>
  <si>
    <t>収支</t>
    <rPh sb="0" eb="2">
      <t>シュウシ</t>
    </rPh>
    <phoneticPr fontId="1"/>
  </si>
  <si>
    <t>利益率</t>
    <rPh sb="0" eb="2">
      <t>リエキ</t>
    </rPh>
    <rPh sb="2" eb="3">
      <t>リツ</t>
    </rPh>
    <phoneticPr fontId="1"/>
  </si>
  <si>
    <t>勝ち数</t>
    <rPh sb="0" eb="1">
      <t>カ</t>
    </rPh>
    <rPh sb="2" eb="3">
      <t>スウ</t>
    </rPh>
    <phoneticPr fontId="1"/>
  </si>
  <si>
    <t>負け数</t>
    <rPh sb="0" eb="1">
      <t>マ</t>
    </rPh>
    <rPh sb="2" eb="3">
      <t>スウ</t>
    </rPh>
    <phoneticPr fontId="1"/>
  </si>
  <si>
    <t>2012年</t>
    <rPh sb="4" eb="5">
      <t>ネン</t>
    </rPh>
    <phoneticPr fontId="1"/>
  </si>
  <si>
    <t>買</t>
    <rPh sb="0" eb="1">
      <t>カ</t>
    </rPh>
    <phoneticPr fontId="1"/>
  </si>
  <si>
    <t>勝率</t>
    <rPh sb="0" eb="2">
      <t>ショウリツ</t>
    </rPh>
    <phoneticPr fontId="1"/>
  </si>
  <si>
    <t>2013年</t>
    <rPh sb="4" eb="5">
      <t>ネン</t>
    </rPh>
    <phoneticPr fontId="1"/>
  </si>
  <si>
    <t>リスクリワード</t>
    <phoneticPr fontId="1"/>
  </si>
  <si>
    <t>2014年</t>
    <rPh sb="4" eb="5">
      <t>ネン</t>
    </rPh>
    <phoneticPr fontId="1"/>
  </si>
  <si>
    <t>2015年</t>
    <rPh sb="4" eb="5">
      <t>ネン</t>
    </rPh>
    <phoneticPr fontId="1"/>
  </si>
  <si>
    <t>保有中</t>
    <rPh sb="0" eb="3">
      <t>ホユウチュウ</t>
    </rPh>
    <phoneticPr fontId="1"/>
  </si>
  <si>
    <t>年利益率</t>
    <rPh sb="0" eb="1">
      <t>ネン</t>
    </rPh>
    <rPh sb="1" eb="3">
      <t>リエキ</t>
    </rPh>
    <rPh sb="3" eb="4">
      <t>リツ</t>
    </rPh>
    <phoneticPr fontId="1"/>
  </si>
  <si>
    <t>年利益率</t>
    <rPh sb="0" eb="1">
      <t>ネン</t>
    </rPh>
    <rPh sb="1" eb="3">
      <t>リエキ</t>
    </rPh>
    <rPh sb="3" eb="4">
      <t>リツ</t>
    </rPh>
    <phoneticPr fontId="1"/>
  </si>
  <si>
    <t>2005～2015までの検証</t>
  </si>
  <si>
    <t>エントリー方法：PBと同じくMA線でのサポートある時にエントリー</t>
  </si>
  <si>
    <t>決済方法：基本トレーリングストップ</t>
  </si>
  <si>
    <t>トレード回数：PB72回、EB105回、EB（買い増し有）150回</t>
  </si>
  <si>
    <t>勝率：PB38％、EB５５％、EB（買い増しあり）６０％</t>
  </si>
  <si>
    <t>年利益率：PB16.2%、EB58％、EB（買い増し有）77％</t>
  </si>
  <si>
    <t>総資産（￥100,000スタート）：PB100万、EB1342万、EB（買い増し有）3億481万</t>
  </si>
  <si>
    <t>リスクリワード：PB3.42、EB2.75、EB（買い増し有）2.90</t>
  </si>
  <si>
    <t>最大連敗：PB＝8、EB＝4、EB（買い増し有）＝4</t>
  </si>
  <si>
    <t>最大ドローダウン：PB31.7％＝、EB14.7％、EB（買い増し有）14,4％</t>
  </si>
  <si>
    <t>（今後）</t>
  </si>
  <si>
    <t>今回の検証では2009年の利益率11.8％と低調だったので、240分足で検証をしていきたいと思います。</t>
  </si>
  <si>
    <t>同時にデモトレードの方も見ていきます。</t>
  </si>
  <si>
    <r>
      <t>EB</t>
    </r>
    <r>
      <rPr>
        <sz val="10.45"/>
        <color rgb="FF111111"/>
        <rFont val="ＭＳ Ｐゴシック"/>
        <family val="3"/>
        <charset val="128"/>
      </rPr>
      <t>のエントリーではトレンドの中期前半でのエントリーが多く、トレンド（波）に乗れているようで大きく取れることが多かったように思う。中でも</t>
    </r>
    <r>
      <rPr>
        <sz val="10.45"/>
        <color rgb="FF111111"/>
        <rFont val="Verdana"/>
        <family val="2"/>
      </rPr>
      <t>2008</t>
    </r>
    <r>
      <rPr>
        <sz val="10.45"/>
        <color rgb="FF111111"/>
        <rFont val="ＭＳ Ｐゴシック"/>
        <family val="3"/>
        <charset val="128"/>
      </rPr>
      <t>年には</t>
    </r>
    <r>
      <rPr>
        <sz val="10.45"/>
        <color rgb="FF111111"/>
        <rFont val="Verdana"/>
        <family val="2"/>
      </rPr>
      <t>1</t>
    </r>
    <r>
      <rPr>
        <sz val="10.45"/>
        <color rgb="FF111111"/>
        <rFont val="ＭＳ Ｐゴシック"/>
        <family val="3"/>
        <charset val="128"/>
      </rPr>
      <t>トレード（</t>
    </r>
    <r>
      <rPr>
        <sz val="10.45"/>
        <color rgb="FF111111"/>
        <rFont val="Verdana"/>
        <family val="2"/>
      </rPr>
      <t>4</t>
    </r>
    <r>
      <rPr>
        <sz val="10.45"/>
        <color rgb="FF111111"/>
        <rFont val="ＭＳ Ｐゴシック"/>
        <family val="3"/>
        <charset val="128"/>
      </rPr>
      <t>か月保有）で</t>
    </r>
    <r>
      <rPr>
        <sz val="10.45"/>
        <color rgb="FF111111"/>
        <rFont val="Verdana"/>
        <family val="2"/>
      </rPr>
      <t>6500pips</t>
    </r>
    <r>
      <rPr>
        <sz val="10.45"/>
        <color rgb="FF111111"/>
        <rFont val="ＭＳ Ｐゴシック"/>
        <family val="3"/>
        <charset val="128"/>
      </rPr>
      <t>獲得！熱中症にでもかかったかと思い何度も見返しました。またエントリー時からストップ移動なしでの損切り</t>
    </r>
    <r>
      <rPr>
        <sz val="10.45"/>
        <color rgb="FF111111"/>
        <rFont val="Verdana"/>
        <family val="2"/>
      </rPr>
      <t>PB92.5</t>
    </r>
    <r>
      <rPr>
        <sz val="10.45"/>
        <color rgb="FF111111"/>
        <rFont val="ＭＳ Ｐゴシック"/>
        <family val="3"/>
        <charset val="128"/>
      </rPr>
      <t>％、</t>
    </r>
    <r>
      <rPr>
        <sz val="10.45"/>
        <color rgb="FF111111"/>
        <rFont val="Verdana"/>
        <family val="2"/>
      </rPr>
      <t>EB61.</t>
    </r>
    <r>
      <rPr>
        <sz val="10.45"/>
        <color rgb="FF111111"/>
        <rFont val="ＭＳ Ｐゴシック"/>
        <family val="3"/>
        <charset val="128"/>
      </rPr>
      <t>７％、</t>
    </r>
    <r>
      <rPr>
        <sz val="10.45"/>
        <color rgb="FF111111"/>
        <rFont val="Verdana"/>
        <family val="2"/>
      </rPr>
      <t>EB</t>
    </r>
    <r>
      <rPr>
        <sz val="10.45"/>
        <color rgb="FF111111"/>
        <rFont val="ＭＳ Ｐゴシック"/>
        <family val="3"/>
        <charset val="128"/>
      </rPr>
      <t>（買い増し有）</t>
    </r>
    <r>
      <rPr>
        <sz val="10.45"/>
        <color rgb="FF111111"/>
        <rFont val="Verdana"/>
        <family val="2"/>
      </rPr>
      <t>55</t>
    </r>
    <r>
      <rPr>
        <sz val="10.45"/>
        <color rgb="FF111111"/>
        <rFont val="ＭＳ Ｐゴシック"/>
        <family val="3"/>
        <charset val="128"/>
      </rPr>
      <t>％とリスクも抑えて損切りすることが多い事から利益が伸びる要因になっているように思える。　　　　　　ただ、</t>
    </r>
    <r>
      <rPr>
        <sz val="10.45"/>
        <color rgb="FF111111"/>
        <rFont val="Verdana"/>
        <family val="2"/>
      </rPr>
      <t>PB</t>
    </r>
    <r>
      <rPr>
        <sz val="10.45"/>
        <color rgb="FF111111"/>
        <rFont val="ＭＳ Ｐゴシック"/>
        <family val="3"/>
        <charset val="128"/>
      </rPr>
      <t>も</t>
    </r>
    <r>
      <rPr>
        <sz val="10.45"/>
        <color rgb="FF111111"/>
        <rFont val="Verdana"/>
        <family val="2"/>
      </rPr>
      <t>EB</t>
    </r>
    <r>
      <rPr>
        <sz val="10.45"/>
        <color rgb="FF111111"/>
        <rFont val="ＭＳ Ｐゴシック"/>
        <family val="3"/>
        <charset val="128"/>
      </rPr>
      <t>も共通してレンジ相場では弱い結果になると感じました。</t>
    </r>
    <r>
      <rPr>
        <sz val="10.45"/>
        <color rgb="FF111111"/>
        <rFont val="Verdana"/>
        <family val="2"/>
      </rPr>
      <t>MA</t>
    </r>
    <r>
      <rPr>
        <sz val="10.45"/>
        <color rgb="FF111111"/>
        <rFont val="ＭＳ Ｐゴシック"/>
        <family val="3"/>
        <charset val="128"/>
      </rPr>
      <t>サポートなのでまだ</t>
    </r>
    <r>
      <rPr>
        <sz val="10.45"/>
        <color rgb="FF111111"/>
        <rFont val="Verdana"/>
        <family val="2"/>
      </rPr>
      <t>EB</t>
    </r>
    <r>
      <rPr>
        <sz val="10.45"/>
        <color rgb="FF111111"/>
        <rFont val="ＭＳ Ｐゴシック"/>
        <family val="3"/>
        <charset val="128"/>
      </rPr>
      <t>はプラスになる確率が高いと思いますが、</t>
    </r>
    <r>
      <rPr>
        <sz val="10.45"/>
        <color rgb="FF111111"/>
        <rFont val="Verdana"/>
        <family val="2"/>
      </rPr>
      <t>PB</t>
    </r>
    <r>
      <rPr>
        <sz val="10.45"/>
        <color rgb="FF111111"/>
        <rFont val="ＭＳ Ｐゴシック"/>
        <family val="3"/>
        <charset val="128"/>
      </rPr>
      <t>はサポートラインなどのフィルターをかける、もしくはレンジ相場を見破る術が必要だと改めて気付かされました。</t>
    </r>
    <phoneticPr fontId="1"/>
  </si>
  <si>
    <r>
      <rPr>
        <sz val="10.45"/>
        <color rgb="FF111111"/>
        <rFont val="ＭＳ Ｐゴシック"/>
        <family val="3"/>
        <charset val="128"/>
      </rPr>
      <t>　同通貨での検証比較をしてみると、リスクリワード以外圧倒的に</t>
    </r>
    <r>
      <rPr>
        <sz val="10.45"/>
        <color rgb="FF111111"/>
        <rFont val="Verdana"/>
        <family val="2"/>
      </rPr>
      <t>EB</t>
    </r>
    <r>
      <rPr>
        <sz val="10.45"/>
        <color rgb="FF111111"/>
        <rFont val="ＭＳ Ｐゴシック"/>
        <family val="3"/>
        <charset val="128"/>
      </rPr>
      <t>買い増しの圧勝でした。結果的に早く資産が増えていくので、この手法で検証を続けていこうと思います。</t>
    </r>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</si>
</sst>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5" formatCode="&quot;¥&quot;#,##0;&quot;¥&quot;\-#,##0"/>
    <numFmt numFmtId="7" formatCode="&quot;¥&quot;#,##0.00;&quot;¥&quot;\-#,##0.00"/>
    <numFmt numFmtId="176" formatCode="0.0_ "/>
    <numFmt numFmtId="177" formatCode="0_ "/>
    <numFmt numFmtId="178" formatCode="0.000"/>
    <numFmt numFmtId="179" formatCode="0.0"/>
    <numFmt numFmtId="180" formatCode="m&quot;月&quot;d&quot;日&quot;;@"/>
    <numFmt numFmtId="182" formatCode="0.0%"/>
  </numFmts>
  <fonts count="9" x14ac:knownFonts="1">
    <font>
      <sz val="11"/>
      <color indexed="8"/>
      <name val="ＭＳ Ｐゴシック"/>
      <family val="3"/>
      <charset val="128"/>
    </font>
    <font>
      <sz val="6"/>
      <name val="ＭＳ Ｐゴシック"/>
      <family val="3"/>
      <charset val="128"/>
    </font>
    <font>
      <sz val="11"/>
      <name val="ＭＳ Ｐゴシック"/>
      <family val="3"/>
      <charset val="128"/>
    </font>
    <font>
      <b/>
      <sz val="11"/>
      <color rgb="FF7030A0"/>
      <name val="ＭＳ Ｐゴシック"/>
      <family val="3"/>
      <charset val="128"/>
    </font>
    <font>
      <sz val="11"/>
      <color indexed="8"/>
      <name val="ＭＳ Ｐゴシック"/>
      <family val="3"/>
      <charset val="128"/>
    </font>
    <font>
      <b/>
      <sz val="11"/>
      <color rgb="FFFF0000"/>
      <name val="ＭＳ Ｐゴシック"/>
      <family val="3"/>
      <charset val="128"/>
    </font>
    <font>
      <sz val="11"/>
      <color rgb="FF111111"/>
      <name val="Arial"/>
      <family val="2"/>
    </font>
    <font>
      <sz val="10.45"/>
      <color rgb="FF111111"/>
      <name val="Verdana"/>
      <family val="2"/>
    </font>
    <font>
      <sz val="10.45"/>
      <color rgb="FF111111"/>
      <name val="ＭＳ Ｐゴシック"/>
      <family val="3"/>
      <charset val="128"/>
    </font>
  </fonts>
  <fills count="10">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39997558519241921"/>
        <bgColor indexed="64"/>
      </patternFill>
    </fill>
  </fills>
  <borders count="1">
    <border>
      <left/>
      <right/>
      <top/>
      <bottom/>
      <diagonal/>
    </border>
  </borders>
  <cellStyleXfs count="2">
    <xf numFmtId="0" fontId="0" fillId="0" borderId="0">
      <alignment vertical="center"/>
    </xf>
    <xf numFmtId="9" fontId="4" fillId="0" borderId="0" applyFont="0" applyFill="0" applyBorder="0" applyAlignment="0" applyProtection="0">
      <alignment vertical="center"/>
    </xf>
  </cellStyleXfs>
  <cellXfs count="83">
    <xf numFmtId="0" fontId="0" fillId="0" borderId="0" xfId="0">
      <alignment vertical="center"/>
    </xf>
    <xf numFmtId="14" fontId="0" fillId="0" borderId="0" xfId="0" applyNumberFormat="1">
      <alignment vertical="center"/>
    </xf>
    <xf numFmtId="0" fontId="0" fillId="3" borderId="0" xfId="0" applyFill="1" applyAlignment="1">
      <alignment horizontal="center" vertical="center"/>
    </xf>
    <xf numFmtId="176" fontId="0" fillId="0" borderId="0" xfId="0" applyNumberFormat="1" applyAlignment="1">
      <alignment horizontal="center" vertical="center"/>
    </xf>
    <xf numFmtId="177" fontId="0" fillId="0" borderId="0" xfId="0" applyNumberFormat="1" applyAlignment="1">
      <alignment horizontal="center" vertical="center"/>
    </xf>
    <xf numFmtId="178" fontId="0" fillId="0" borderId="0" xfId="0" applyNumberFormat="1" applyAlignment="1">
      <alignment horizontal="center" vertical="center"/>
    </xf>
    <xf numFmtId="0" fontId="0" fillId="0" borderId="0" xfId="0" applyAlignment="1">
      <alignment horizontal="left" vertical="center"/>
    </xf>
    <xf numFmtId="0" fontId="0" fillId="0" borderId="0" xfId="0" applyFill="1" applyAlignment="1">
      <alignment horizontal="center" vertical="center"/>
    </xf>
    <xf numFmtId="1" fontId="2" fillId="4" borderId="0" xfId="0" applyNumberFormat="1" applyFont="1" applyFill="1" applyAlignment="1">
      <alignment horizontal="center" vertical="center"/>
    </xf>
    <xf numFmtId="0" fontId="2" fillId="5" borderId="0" xfId="0" applyFont="1" applyFill="1" applyAlignment="1">
      <alignment horizontal="center" vertical="center"/>
    </xf>
    <xf numFmtId="1" fontId="2" fillId="5" borderId="0" xfId="0" applyNumberFormat="1" applyFont="1" applyFill="1" applyAlignment="1">
      <alignment horizontal="center" vertical="center"/>
    </xf>
    <xf numFmtId="178" fontId="0" fillId="0" borderId="0" xfId="0" applyNumberFormat="1">
      <alignment vertical="center"/>
    </xf>
    <xf numFmtId="0" fontId="0" fillId="0" borderId="0" xfId="0" applyFill="1">
      <alignment vertical="center"/>
    </xf>
    <xf numFmtId="0" fontId="0" fillId="0" borderId="0" xfId="0" applyAlignment="1">
      <alignment horizontal="left" vertical="center" wrapText="1"/>
    </xf>
    <xf numFmtId="0" fontId="0" fillId="2" borderId="0" xfId="0" applyFill="1" applyAlignment="1">
      <alignment horizontal="center" vertical="center"/>
    </xf>
    <xf numFmtId="9" fontId="0" fillId="0" borderId="0" xfId="0" applyNumberFormat="1" applyAlignment="1">
      <alignment horizontal="center" vertical="center"/>
    </xf>
    <xf numFmtId="0" fontId="0" fillId="0" borderId="0" xfId="0" applyAlignment="1">
      <alignment horizontal="left" vertical="center" wrapText="1"/>
    </xf>
    <xf numFmtId="0" fontId="0" fillId="0" borderId="0" xfId="0" applyAlignment="1">
      <alignment horizontal="center" vertical="center"/>
    </xf>
    <xf numFmtId="0" fontId="0" fillId="0" borderId="0" xfId="0" applyAlignment="1">
      <alignment horizontal="center" vertical="center"/>
    </xf>
    <xf numFmtId="0" fontId="0" fillId="6" borderId="0" xfId="0" applyFill="1" applyAlignment="1">
      <alignment horizontal="center" vertical="center"/>
    </xf>
    <xf numFmtId="1" fontId="2" fillId="7" borderId="0" xfId="0" applyNumberFormat="1" applyFont="1" applyFill="1" applyAlignment="1">
      <alignment horizontal="center" vertical="center"/>
    </xf>
    <xf numFmtId="1" fontId="0" fillId="7" borderId="0" xfId="0" applyNumberFormat="1" applyFill="1">
      <alignment vertical="center"/>
    </xf>
    <xf numFmtId="0" fontId="2" fillId="8" borderId="0" xfId="0" applyFont="1" applyFill="1" applyAlignment="1">
      <alignment horizontal="center" vertical="center"/>
    </xf>
    <xf numFmtId="1" fontId="2" fillId="8" borderId="0" xfId="0" applyNumberFormat="1" applyFont="1" applyFill="1" applyAlignment="1">
      <alignment horizontal="center" vertical="center"/>
    </xf>
    <xf numFmtId="1" fontId="0" fillId="8" borderId="0" xfId="0" applyNumberFormat="1" applyFill="1">
      <alignment vertical="center"/>
    </xf>
    <xf numFmtId="0" fontId="0" fillId="0" borderId="0" xfId="0" applyAlignment="1">
      <alignment horizontal="center" vertical="center"/>
    </xf>
    <xf numFmtId="178" fontId="0" fillId="2" borderId="0" xfId="0" applyNumberFormat="1" applyFill="1" applyAlignment="1">
      <alignment horizontal="center" vertical="center"/>
    </xf>
    <xf numFmtId="177" fontId="0" fillId="8" borderId="0" xfId="0" applyNumberFormat="1" applyFill="1" applyAlignment="1">
      <alignment horizontal="center" vertical="center"/>
    </xf>
    <xf numFmtId="0" fontId="0" fillId="0" borderId="0" xfId="0" applyAlignment="1">
      <alignment horizontal="center" vertical="center" wrapText="1"/>
    </xf>
    <xf numFmtId="0" fontId="0" fillId="9" borderId="0" xfId="0" applyFill="1">
      <alignment vertical="center"/>
    </xf>
    <xf numFmtId="0" fontId="0" fillId="0" borderId="0" xfId="0" applyAlignment="1">
      <alignment horizontal="center" vertical="center"/>
    </xf>
    <xf numFmtId="0" fontId="0" fillId="0" borderId="0" xfId="0" applyAlignment="1">
      <alignment horizontal="center" vertical="center"/>
    </xf>
    <xf numFmtId="1" fontId="0" fillId="0" borderId="0" xfId="0" applyNumberFormat="1">
      <alignment vertical="center"/>
    </xf>
    <xf numFmtId="0" fontId="0" fillId="0" borderId="0" xfId="0" applyNumberFormat="1" applyAlignment="1">
      <alignment horizontal="center" vertical="center"/>
    </xf>
    <xf numFmtId="0" fontId="0" fillId="0" borderId="0" xfId="0" applyAlignment="1">
      <alignment horizontal="center" vertical="center"/>
    </xf>
    <xf numFmtId="0" fontId="3" fillId="0" borderId="0" xfId="0" applyFont="1" applyFill="1" applyAlignment="1">
      <alignment horizontal="lef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xf>
    <xf numFmtId="179" fontId="0" fillId="0" borderId="0" xfId="0" applyNumberFormat="1">
      <alignment vertical="center"/>
    </xf>
    <xf numFmtId="0" fontId="0" fillId="0" borderId="0" xfId="0" applyNumberFormat="1">
      <alignment vertical="center"/>
    </xf>
    <xf numFmtId="9" fontId="0" fillId="0" borderId="0" xfId="1" applyFont="1">
      <alignment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0" fillId="0" borderId="0" xfId="0" applyAlignment="1">
      <alignment horizontal="center" vertical="center"/>
    </xf>
    <xf numFmtId="0" fontId="0" fillId="3" borderId="0" xfId="0" applyFill="1" applyAlignment="1">
      <alignment vertical="center"/>
    </xf>
    <xf numFmtId="0" fontId="0" fillId="2" borderId="0" xfId="0" applyFill="1">
      <alignment vertical="center"/>
    </xf>
    <xf numFmtId="0" fontId="0" fillId="0" borderId="0" xfId="0" applyAlignment="1">
      <alignment horizontal="center" vertical="center"/>
    </xf>
    <xf numFmtId="180" fontId="0" fillId="0" borderId="0" xfId="0" applyNumberFormat="1" applyAlignment="1">
      <alignment horizontal="center" vertical="center"/>
    </xf>
    <xf numFmtId="1" fontId="2" fillId="0" borderId="0" xfId="0" applyNumberFormat="1" applyFont="1" applyFill="1" applyAlignment="1">
      <alignment horizontal="center" vertical="center"/>
    </xf>
    <xf numFmtId="0" fontId="0" fillId="0" borderId="0" xfId="0" applyAlignment="1">
      <alignment horizontal="center" vertical="center"/>
    </xf>
    <xf numFmtId="180" fontId="0" fillId="0" borderId="0" xfId="0" applyNumberFormat="1" applyFont="1" applyAlignment="1">
      <alignment horizontal="center" vertical="center"/>
    </xf>
    <xf numFmtId="180" fontId="0" fillId="0" borderId="0" xfId="0" applyNumberFormat="1" applyFill="1" applyAlignment="1">
      <alignment horizontal="center" vertical="center"/>
    </xf>
    <xf numFmtId="180" fontId="2" fillId="0" borderId="0" xfId="0" applyNumberFormat="1" applyFont="1" applyAlignment="1">
      <alignment horizontal="center" vertical="center"/>
    </xf>
    <xf numFmtId="180" fontId="2" fillId="0" borderId="0" xfId="0" applyNumberFormat="1" applyFont="1" applyAlignment="1">
      <alignment horizontal="center" vertical="center" wrapText="1"/>
    </xf>
    <xf numFmtId="180" fontId="2" fillId="0" borderId="0" xfId="0" applyNumberFormat="1" applyFont="1" applyFill="1" applyAlignment="1">
      <alignment horizontal="center" vertical="center"/>
    </xf>
    <xf numFmtId="180" fontId="3" fillId="0" borderId="0" xfId="0" applyNumberFormat="1" applyFont="1" applyAlignment="1">
      <alignment horizontal="left" vertical="center"/>
    </xf>
    <xf numFmtId="0" fontId="0" fillId="0" borderId="0" xfId="0" applyAlignment="1">
      <alignment horizontal="center" vertical="center"/>
    </xf>
    <xf numFmtId="9" fontId="0" fillId="0" borderId="0" xfId="0" applyNumberFormat="1" applyAlignment="1">
      <alignment horizontal="center" vertical="center"/>
    </xf>
    <xf numFmtId="0" fontId="0" fillId="0" borderId="0" xfId="0" applyAlignment="1">
      <alignment horizontal="left" vertical="center" wrapText="1"/>
    </xf>
    <xf numFmtId="0" fontId="0" fillId="2" borderId="0" xfId="0" applyFill="1" applyAlignment="1">
      <alignment horizontal="center" vertical="center"/>
    </xf>
    <xf numFmtId="0" fontId="6" fillId="0" borderId="0" xfId="0" applyFont="1">
      <alignment vertical="center"/>
    </xf>
    <xf numFmtId="0" fontId="0" fillId="0" borderId="0" xfId="0" applyAlignment="1">
      <alignment horizontal="left" vertical="center" indent="1"/>
    </xf>
    <xf numFmtId="0" fontId="0" fillId="0" borderId="0" xfId="0" applyAlignment="1">
      <alignment horizontal="center" vertical="center"/>
    </xf>
    <xf numFmtId="5" fontId="0" fillId="0" borderId="0" xfId="0" applyNumberFormat="1" applyAlignment="1">
      <alignment horizontal="center" vertical="center"/>
    </xf>
    <xf numFmtId="9" fontId="0" fillId="0" borderId="0" xfId="0" applyNumberFormat="1" applyAlignment="1">
      <alignment horizontal="center" vertical="center"/>
    </xf>
    <xf numFmtId="0" fontId="0" fillId="2" borderId="0" xfId="0" applyFill="1" applyAlignment="1">
      <alignment horizontal="center" vertical="center"/>
    </xf>
    <xf numFmtId="0" fontId="0" fillId="0" borderId="0" xfId="0" applyAlignment="1">
      <alignment horizontal="left" vertical="center" wrapText="1"/>
    </xf>
    <xf numFmtId="5" fontId="0" fillId="0" borderId="0" xfId="0" applyNumberFormat="1">
      <alignment vertical="center"/>
    </xf>
    <xf numFmtId="7" fontId="0" fillId="0" borderId="0" xfId="0" applyNumberFormat="1">
      <alignment vertical="center"/>
    </xf>
    <xf numFmtId="0" fontId="2" fillId="4" borderId="0" xfId="0" applyFont="1" applyFill="1">
      <alignment vertical="center"/>
    </xf>
    <xf numFmtId="0" fontId="2" fillId="5" borderId="0" xfId="0" applyFont="1" applyFill="1">
      <alignment vertical="center"/>
    </xf>
    <xf numFmtId="180" fontId="3" fillId="0" borderId="0" xfId="0" applyNumberFormat="1" applyFont="1" applyFill="1" applyAlignment="1">
      <alignment horizontal="left" vertical="center"/>
    </xf>
    <xf numFmtId="5" fontId="0" fillId="9" borderId="0" xfId="0" applyNumberFormat="1" applyFill="1">
      <alignment vertical="center"/>
    </xf>
    <xf numFmtId="182" fontId="0" fillId="0" borderId="0" xfId="1" applyNumberFormat="1" applyFont="1">
      <alignment vertical="center"/>
    </xf>
    <xf numFmtId="182" fontId="0" fillId="0" borderId="0" xfId="0" applyNumberFormat="1">
      <alignment vertical="center"/>
    </xf>
    <xf numFmtId="10" fontId="0" fillId="0" borderId="0" xfId="1" applyNumberFormat="1" applyFont="1">
      <alignment vertical="center"/>
    </xf>
    <xf numFmtId="0" fontId="7" fillId="0" borderId="0" xfId="0" applyFont="1">
      <alignment vertical="center"/>
    </xf>
    <xf numFmtId="0" fontId="7" fillId="0" borderId="0" xfId="0" applyFont="1" applyAlignment="1">
      <alignment vertical="center" wrapText="1"/>
    </xf>
    <xf numFmtId="0" fontId="7" fillId="0" borderId="0" xfId="0" applyFont="1" applyAlignment="1">
      <alignment horizontal="left" vertical="center" wrapText="1"/>
    </xf>
  </cellXfs>
  <cellStyles count="2">
    <cellStyle name="パーセント" xfId="1" builtinId="5"/>
    <cellStyle name="標準" xfId="0" builtinId="0"/>
  </cellStyles>
  <dxfs count="66">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s>
  <tableStyles count="0" defaultTableStyle="TableStyleMedium2" defaultPivotStyle="PivotStyleLight16"/>
  <colors>
    <mruColors>
      <color rgb="FFCC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103219</xdr:colOff>
      <xdr:row>31</xdr:row>
      <xdr:rowOff>37431</xdr:rowOff>
    </xdr:to>
    <xdr:pic>
      <xdr:nvPicPr>
        <xdr:cNvPr id="4" name="図 3"/>
        <xdr:cNvPicPr>
          <a:picLocks noChangeAspect="1"/>
        </xdr:cNvPicPr>
      </xdr:nvPicPr>
      <xdr:blipFill>
        <a:blip xmlns:r="http://schemas.openxmlformats.org/officeDocument/2006/relationships" r:embed="rId1"/>
        <a:stretch>
          <a:fillRect/>
        </a:stretch>
      </xdr:blipFill>
      <xdr:spPr>
        <a:xfrm>
          <a:off x="0" y="0"/>
          <a:ext cx="12447619" cy="5352381"/>
        </a:xfrm>
        <a:prstGeom prst="rect">
          <a:avLst/>
        </a:prstGeom>
      </xdr:spPr>
    </xdr:pic>
    <xdr:clientData/>
  </xdr:twoCellAnchor>
  <xdr:twoCellAnchor editAs="oneCell">
    <xdr:from>
      <xdr:col>0</xdr:col>
      <xdr:colOff>0</xdr:colOff>
      <xdr:row>32</xdr:row>
      <xdr:rowOff>0</xdr:rowOff>
    </xdr:from>
    <xdr:to>
      <xdr:col>18</xdr:col>
      <xdr:colOff>141314</xdr:colOff>
      <xdr:row>63</xdr:row>
      <xdr:rowOff>66002</xdr:rowOff>
    </xdr:to>
    <xdr:pic>
      <xdr:nvPicPr>
        <xdr:cNvPr id="3" name="図 2"/>
        <xdr:cNvPicPr>
          <a:picLocks noChangeAspect="1"/>
        </xdr:cNvPicPr>
      </xdr:nvPicPr>
      <xdr:blipFill>
        <a:blip xmlns:r="http://schemas.openxmlformats.org/officeDocument/2006/relationships" r:embed="rId2"/>
        <a:stretch>
          <a:fillRect/>
        </a:stretch>
      </xdr:blipFill>
      <xdr:spPr>
        <a:xfrm>
          <a:off x="0" y="5486400"/>
          <a:ext cx="12485714" cy="5380952"/>
        </a:xfrm>
        <a:prstGeom prst="rect">
          <a:avLst/>
        </a:prstGeom>
      </xdr:spPr>
    </xdr:pic>
    <xdr:clientData/>
  </xdr:twoCellAnchor>
  <xdr:twoCellAnchor editAs="oneCell">
    <xdr:from>
      <xdr:col>0</xdr:col>
      <xdr:colOff>0</xdr:colOff>
      <xdr:row>64</xdr:row>
      <xdr:rowOff>0</xdr:rowOff>
    </xdr:from>
    <xdr:to>
      <xdr:col>18</xdr:col>
      <xdr:colOff>103219</xdr:colOff>
      <xdr:row>95</xdr:row>
      <xdr:rowOff>66002</xdr:rowOff>
    </xdr:to>
    <xdr:pic>
      <xdr:nvPicPr>
        <xdr:cNvPr id="6" name="図 5"/>
        <xdr:cNvPicPr>
          <a:picLocks noChangeAspect="1"/>
        </xdr:cNvPicPr>
      </xdr:nvPicPr>
      <xdr:blipFill>
        <a:blip xmlns:r="http://schemas.openxmlformats.org/officeDocument/2006/relationships" r:embed="rId3"/>
        <a:stretch>
          <a:fillRect/>
        </a:stretch>
      </xdr:blipFill>
      <xdr:spPr>
        <a:xfrm>
          <a:off x="0" y="10972800"/>
          <a:ext cx="12447619" cy="5380952"/>
        </a:xfrm>
        <a:prstGeom prst="rect">
          <a:avLst/>
        </a:prstGeom>
      </xdr:spPr>
    </xdr:pic>
    <xdr:clientData/>
  </xdr:twoCellAnchor>
  <xdr:twoCellAnchor editAs="oneCell">
    <xdr:from>
      <xdr:col>0</xdr:col>
      <xdr:colOff>0</xdr:colOff>
      <xdr:row>96</xdr:row>
      <xdr:rowOff>0</xdr:rowOff>
    </xdr:from>
    <xdr:to>
      <xdr:col>18</xdr:col>
      <xdr:colOff>131790</xdr:colOff>
      <xdr:row>127</xdr:row>
      <xdr:rowOff>37431</xdr:rowOff>
    </xdr:to>
    <xdr:pic>
      <xdr:nvPicPr>
        <xdr:cNvPr id="8" name="図 7"/>
        <xdr:cNvPicPr>
          <a:picLocks noChangeAspect="1"/>
        </xdr:cNvPicPr>
      </xdr:nvPicPr>
      <xdr:blipFill>
        <a:blip xmlns:r="http://schemas.openxmlformats.org/officeDocument/2006/relationships" r:embed="rId4"/>
        <a:stretch>
          <a:fillRect/>
        </a:stretch>
      </xdr:blipFill>
      <xdr:spPr>
        <a:xfrm>
          <a:off x="0" y="16459200"/>
          <a:ext cx="12476190" cy="5352381"/>
        </a:xfrm>
        <a:prstGeom prst="rect">
          <a:avLst/>
        </a:prstGeom>
      </xdr:spPr>
    </xdr:pic>
    <xdr:clientData/>
  </xdr:twoCellAnchor>
  <xdr:twoCellAnchor editAs="oneCell">
    <xdr:from>
      <xdr:col>0</xdr:col>
      <xdr:colOff>0</xdr:colOff>
      <xdr:row>128</xdr:row>
      <xdr:rowOff>0</xdr:rowOff>
    </xdr:from>
    <xdr:to>
      <xdr:col>18</xdr:col>
      <xdr:colOff>93695</xdr:colOff>
      <xdr:row>159</xdr:row>
      <xdr:rowOff>66002</xdr:rowOff>
    </xdr:to>
    <xdr:pic>
      <xdr:nvPicPr>
        <xdr:cNvPr id="2" name="図 1"/>
        <xdr:cNvPicPr>
          <a:picLocks noChangeAspect="1"/>
        </xdr:cNvPicPr>
      </xdr:nvPicPr>
      <xdr:blipFill>
        <a:blip xmlns:r="http://schemas.openxmlformats.org/officeDocument/2006/relationships" r:embed="rId5"/>
        <a:stretch>
          <a:fillRect/>
        </a:stretch>
      </xdr:blipFill>
      <xdr:spPr>
        <a:xfrm>
          <a:off x="0" y="21945600"/>
          <a:ext cx="12438095" cy="5380952"/>
        </a:xfrm>
        <a:prstGeom prst="rect">
          <a:avLst/>
        </a:prstGeom>
      </xdr:spPr>
    </xdr:pic>
    <xdr:clientData/>
  </xdr:twoCellAnchor>
  <xdr:twoCellAnchor editAs="oneCell">
    <xdr:from>
      <xdr:col>0</xdr:col>
      <xdr:colOff>0</xdr:colOff>
      <xdr:row>160</xdr:row>
      <xdr:rowOff>0</xdr:rowOff>
    </xdr:from>
    <xdr:to>
      <xdr:col>18</xdr:col>
      <xdr:colOff>93695</xdr:colOff>
      <xdr:row>191</xdr:row>
      <xdr:rowOff>27907</xdr:rowOff>
    </xdr:to>
    <xdr:pic>
      <xdr:nvPicPr>
        <xdr:cNvPr id="9" name="図 8"/>
        <xdr:cNvPicPr>
          <a:picLocks noChangeAspect="1"/>
        </xdr:cNvPicPr>
      </xdr:nvPicPr>
      <xdr:blipFill>
        <a:blip xmlns:r="http://schemas.openxmlformats.org/officeDocument/2006/relationships" r:embed="rId6"/>
        <a:stretch>
          <a:fillRect/>
        </a:stretch>
      </xdr:blipFill>
      <xdr:spPr>
        <a:xfrm>
          <a:off x="0" y="27432000"/>
          <a:ext cx="12438095" cy="5342857"/>
        </a:xfrm>
        <a:prstGeom prst="rect">
          <a:avLst/>
        </a:prstGeom>
      </xdr:spPr>
    </xdr:pic>
    <xdr:clientData/>
  </xdr:twoCellAnchor>
  <xdr:twoCellAnchor editAs="oneCell">
    <xdr:from>
      <xdr:col>0</xdr:col>
      <xdr:colOff>0</xdr:colOff>
      <xdr:row>192</xdr:row>
      <xdr:rowOff>0</xdr:rowOff>
    </xdr:from>
    <xdr:to>
      <xdr:col>18</xdr:col>
      <xdr:colOff>131790</xdr:colOff>
      <xdr:row>223</xdr:row>
      <xdr:rowOff>56479</xdr:rowOff>
    </xdr:to>
    <xdr:pic>
      <xdr:nvPicPr>
        <xdr:cNvPr id="11" name="図 10"/>
        <xdr:cNvPicPr>
          <a:picLocks noChangeAspect="1"/>
        </xdr:cNvPicPr>
      </xdr:nvPicPr>
      <xdr:blipFill>
        <a:blip xmlns:r="http://schemas.openxmlformats.org/officeDocument/2006/relationships" r:embed="rId7"/>
        <a:stretch>
          <a:fillRect/>
        </a:stretch>
      </xdr:blipFill>
      <xdr:spPr>
        <a:xfrm>
          <a:off x="0" y="32918400"/>
          <a:ext cx="12476190" cy="5371429"/>
        </a:xfrm>
        <a:prstGeom prst="rect">
          <a:avLst/>
        </a:prstGeom>
      </xdr:spPr>
    </xdr:pic>
    <xdr:clientData/>
  </xdr:twoCellAnchor>
  <xdr:twoCellAnchor editAs="oneCell">
    <xdr:from>
      <xdr:col>0</xdr:col>
      <xdr:colOff>0</xdr:colOff>
      <xdr:row>224</xdr:row>
      <xdr:rowOff>0</xdr:rowOff>
    </xdr:from>
    <xdr:to>
      <xdr:col>18</xdr:col>
      <xdr:colOff>122267</xdr:colOff>
      <xdr:row>255</xdr:row>
      <xdr:rowOff>56479</xdr:rowOff>
    </xdr:to>
    <xdr:pic>
      <xdr:nvPicPr>
        <xdr:cNvPr id="13" name="図 12"/>
        <xdr:cNvPicPr>
          <a:picLocks noChangeAspect="1"/>
        </xdr:cNvPicPr>
      </xdr:nvPicPr>
      <xdr:blipFill>
        <a:blip xmlns:r="http://schemas.openxmlformats.org/officeDocument/2006/relationships" r:embed="rId8"/>
        <a:stretch>
          <a:fillRect/>
        </a:stretch>
      </xdr:blipFill>
      <xdr:spPr>
        <a:xfrm>
          <a:off x="0" y="38404800"/>
          <a:ext cx="12466667" cy="5371429"/>
        </a:xfrm>
        <a:prstGeom prst="rect">
          <a:avLst/>
        </a:prstGeom>
      </xdr:spPr>
    </xdr:pic>
    <xdr:clientData/>
  </xdr:twoCellAnchor>
  <xdr:twoCellAnchor editAs="oneCell">
    <xdr:from>
      <xdr:col>0</xdr:col>
      <xdr:colOff>0</xdr:colOff>
      <xdr:row>256</xdr:row>
      <xdr:rowOff>0</xdr:rowOff>
    </xdr:from>
    <xdr:to>
      <xdr:col>18</xdr:col>
      <xdr:colOff>103219</xdr:colOff>
      <xdr:row>287</xdr:row>
      <xdr:rowOff>56479</xdr:rowOff>
    </xdr:to>
    <xdr:pic>
      <xdr:nvPicPr>
        <xdr:cNvPr id="5" name="図 4"/>
        <xdr:cNvPicPr>
          <a:picLocks noChangeAspect="1"/>
        </xdr:cNvPicPr>
      </xdr:nvPicPr>
      <xdr:blipFill>
        <a:blip xmlns:r="http://schemas.openxmlformats.org/officeDocument/2006/relationships" r:embed="rId9"/>
        <a:stretch>
          <a:fillRect/>
        </a:stretch>
      </xdr:blipFill>
      <xdr:spPr>
        <a:xfrm>
          <a:off x="0" y="43891200"/>
          <a:ext cx="12447619" cy="5371429"/>
        </a:xfrm>
        <a:prstGeom prst="rect">
          <a:avLst/>
        </a:prstGeom>
      </xdr:spPr>
    </xdr:pic>
    <xdr:clientData/>
  </xdr:twoCellAnchor>
  <xdr:twoCellAnchor editAs="oneCell">
    <xdr:from>
      <xdr:col>0</xdr:col>
      <xdr:colOff>0</xdr:colOff>
      <xdr:row>288</xdr:row>
      <xdr:rowOff>0</xdr:rowOff>
    </xdr:from>
    <xdr:to>
      <xdr:col>18</xdr:col>
      <xdr:colOff>103219</xdr:colOff>
      <xdr:row>319</xdr:row>
      <xdr:rowOff>37431</xdr:rowOff>
    </xdr:to>
    <xdr:pic>
      <xdr:nvPicPr>
        <xdr:cNvPr id="7" name="図 6"/>
        <xdr:cNvPicPr>
          <a:picLocks noChangeAspect="1"/>
        </xdr:cNvPicPr>
      </xdr:nvPicPr>
      <xdr:blipFill>
        <a:blip xmlns:r="http://schemas.openxmlformats.org/officeDocument/2006/relationships" r:embed="rId10"/>
        <a:stretch>
          <a:fillRect/>
        </a:stretch>
      </xdr:blipFill>
      <xdr:spPr>
        <a:xfrm>
          <a:off x="0" y="49377600"/>
          <a:ext cx="12447619" cy="5352381"/>
        </a:xfrm>
        <a:prstGeom prst="rect">
          <a:avLst/>
        </a:prstGeom>
      </xdr:spPr>
    </xdr:pic>
    <xdr:clientData/>
  </xdr:twoCellAnchor>
  <xdr:twoCellAnchor editAs="oneCell">
    <xdr:from>
      <xdr:col>0</xdr:col>
      <xdr:colOff>0</xdr:colOff>
      <xdr:row>320</xdr:row>
      <xdr:rowOff>0</xdr:rowOff>
    </xdr:from>
    <xdr:to>
      <xdr:col>18</xdr:col>
      <xdr:colOff>74647</xdr:colOff>
      <xdr:row>351</xdr:row>
      <xdr:rowOff>27907</xdr:rowOff>
    </xdr:to>
    <xdr:pic>
      <xdr:nvPicPr>
        <xdr:cNvPr id="10" name="図 9"/>
        <xdr:cNvPicPr>
          <a:picLocks noChangeAspect="1"/>
        </xdr:cNvPicPr>
      </xdr:nvPicPr>
      <xdr:blipFill>
        <a:blip xmlns:r="http://schemas.openxmlformats.org/officeDocument/2006/relationships" r:embed="rId11"/>
        <a:stretch>
          <a:fillRect/>
        </a:stretch>
      </xdr:blipFill>
      <xdr:spPr>
        <a:xfrm>
          <a:off x="0" y="54864000"/>
          <a:ext cx="12419047" cy="5342857"/>
        </a:xfrm>
        <a:prstGeom prst="rect">
          <a:avLst/>
        </a:prstGeom>
      </xdr:spPr>
    </xdr:pic>
    <xdr:clientData/>
  </xdr:twoCellAnchor>
  <xdr:twoCellAnchor editAs="oneCell">
    <xdr:from>
      <xdr:col>0</xdr:col>
      <xdr:colOff>0</xdr:colOff>
      <xdr:row>352</xdr:row>
      <xdr:rowOff>0</xdr:rowOff>
    </xdr:from>
    <xdr:to>
      <xdr:col>18</xdr:col>
      <xdr:colOff>103219</xdr:colOff>
      <xdr:row>383</xdr:row>
      <xdr:rowOff>27907</xdr:rowOff>
    </xdr:to>
    <xdr:pic>
      <xdr:nvPicPr>
        <xdr:cNvPr id="12" name="図 11"/>
        <xdr:cNvPicPr>
          <a:picLocks noChangeAspect="1"/>
        </xdr:cNvPicPr>
      </xdr:nvPicPr>
      <xdr:blipFill>
        <a:blip xmlns:r="http://schemas.openxmlformats.org/officeDocument/2006/relationships" r:embed="rId12"/>
        <a:stretch>
          <a:fillRect/>
        </a:stretch>
      </xdr:blipFill>
      <xdr:spPr>
        <a:xfrm>
          <a:off x="0" y="60350400"/>
          <a:ext cx="12447619" cy="5342857"/>
        </a:xfrm>
        <a:prstGeom prst="rect">
          <a:avLst/>
        </a:prstGeom>
      </xdr:spPr>
    </xdr:pic>
    <xdr:clientData/>
  </xdr:twoCellAnchor>
  <xdr:twoCellAnchor editAs="oneCell">
    <xdr:from>
      <xdr:col>0</xdr:col>
      <xdr:colOff>0</xdr:colOff>
      <xdr:row>384</xdr:row>
      <xdr:rowOff>0</xdr:rowOff>
    </xdr:from>
    <xdr:to>
      <xdr:col>18</xdr:col>
      <xdr:colOff>93695</xdr:colOff>
      <xdr:row>415</xdr:row>
      <xdr:rowOff>37431</xdr:rowOff>
    </xdr:to>
    <xdr:pic>
      <xdr:nvPicPr>
        <xdr:cNvPr id="15" name="図 14"/>
        <xdr:cNvPicPr>
          <a:picLocks noChangeAspect="1"/>
        </xdr:cNvPicPr>
      </xdr:nvPicPr>
      <xdr:blipFill>
        <a:blip xmlns:r="http://schemas.openxmlformats.org/officeDocument/2006/relationships" r:embed="rId13"/>
        <a:stretch>
          <a:fillRect/>
        </a:stretch>
      </xdr:blipFill>
      <xdr:spPr>
        <a:xfrm>
          <a:off x="0" y="65836800"/>
          <a:ext cx="12438095" cy="5352381"/>
        </a:xfrm>
        <a:prstGeom prst="rect">
          <a:avLst/>
        </a:prstGeom>
      </xdr:spPr>
    </xdr:pic>
    <xdr:clientData/>
  </xdr:twoCellAnchor>
  <xdr:twoCellAnchor editAs="oneCell">
    <xdr:from>
      <xdr:col>0</xdr:col>
      <xdr:colOff>0</xdr:colOff>
      <xdr:row>416</xdr:row>
      <xdr:rowOff>0</xdr:rowOff>
    </xdr:from>
    <xdr:to>
      <xdr:col>18</xdr:col>
      <xdr:colOff>103219</xdr:colOff>
      <xdr:row>446</xdr:row>
      <xdr:rowOff>170786</xdr:rowOff>
    </xdr:to>
    <xdr:pic>
      <xdr:nvPicPr>
        <xdr:cNvPr id="16" name="図 15"/>
        <xdr:cNvPicPr>
          <a:picLocks noChangeAspect="1"/>
        </xdr:cNvPicPr>
      </xdr:nvPicPr>
      <xdr:blipFill>
        <a:blip xmlns:r="http://schemas.openxmlformats.org/officeDocument/2006/relationships" r:embed="rId14"/>
        <a:stretch>
          <a:fillRect/>
        </a:stretch>
      </xdr:blipFill>
      <xdr:spPr>
        <a:xfrm>
          <a:off x="0" y="71323200"/>
          <a:ext cx="12447619" cy="5314286"/>
        </a:xfrm>
        <a:prstGeom prst="rect">
          <a:avLst/>
        </a:prstGeom>
      </xdr:spPr>
    </xdr:pic>
    <xdr:clientData/>
  </xdr:twoCellAnchor>
  <xdr:twoCellAnchor editAs="oneCell">
    <xdr:from>
      <xdr:col>0</xdr:col>
      <xdr:colOff>0</xdr:colOff>
      <xdr:row>448</xdr:row>
      <xdr:rowOff>0</xdr:rowOff>
    </xdr:from>
    <xdr:to>
      <xdr:col>18</xdr:col>
      <xdr:colOff>141314</xdr:colOff>
      <xdr:row>479</xdr:row>
      <xdr:rowOff>66002</xdr:rowOff>
    </xdr:to>
    <xdr:pic>
      <xdr:nvPicPr>
        <xdr:cNvPr id="17" name="図 16"/>
        <xdr:cNvPicPr>
          <a:picLocks noChangeAspect="1"/>
        </xdr:cNvPicPr>
      </xdr:nvPicPr>
      <xdr:blipFill>
        <a:blip xmlns:r="http://schemas.openxmlformats.org/officeDocument/2006/relationships" r:embed="rId15"/>
        <a:stretch>
          <a:fillRect/>
        </a:stretch>
      </xdr:blipFill>
      <xdr:spPr>
        <a:xfrm>
          <a:off x="0" y="76809600"/>
          <a:ext cx="12485714" cy="5380952"/>
        </a:xfrm>
        <a:prstGeom prst="rect">
          <a:avLst/>
        </a:prstGeom>
      </xdr:spPr>
    </xdr:pic>
    <xdr:clientData/>
  </xdr:twoCellAnchor>
  <xdr:twoCellAnchor editAs="oneCell">
    <xdr:from>
      <xdr:col>0</xdr:col>
      <xdr:colOff>0</xdr:colOff>
      <xdr:row>480</xdr:row>
      <xdr:rowOff>0</xdr:rowOff>
    </xdr:from>
    <xdr:to>
      <xdr:col>18</xdr:col>
      <xdr:colOff>93695</xdr:colOff>
      <xdr:row>511</xdr:row>
      <xdr:rowOff>37431</xdr:rowOff>
    </xdr:to>
    <xdr:pic>
      <xdr:nvPicPr>
        <xdr:cNvPr id="18" name="図 17"/>
        <xdr:cNvPicPr>
          <a:picLocks noChangeAspect="1"/>
        </xdr:cNvPicPr>
      </xdr:nvPicPr>
      <xdr:blipFill>
        <a:blip xmlns:r="http://schemas.openxmlformats.org/officeDocument/2006/relationships" r:embed="rId16"/>
        <a:stretch>
          <a:fillRect/>
        </a:stretch>
      </xdr:blipFill>
      <xdr:spPr>
        <a:xfrm>
          <a:off x="0" y="82296000"/>
          <a:ext cx="12438095" cy="5352381"/>
        </a:xfrm>
        <a:prstGeom prst="rect">
          <a:avLst/>
        </a:prstGeom>
      </xdr:spPr>
    </xdr:pic>
    <xdr:clientData/>
  </xdr:twoCellAnchor>
  <xdr:twoCellAnchor editAs="oneCell">
    <xdr:from>
      <xdr:col>0</xdr:col>
      <xdr:colOff>0</xdr:colOff>
      <xdr:row>512</xdr:row>
      <xdr:rowOff>0</xdr:rowOff>
    </xdr:from>
    <xdr:to>
      <xdr:col>18</xdr:col>
      <xdr:colOff>103219</xdr:colOff>
      <xdr:row>543</xdr:row>
      <xdr:rowOff>27907</xdr:rowOff>
    </xdr:to>
    <xdr:pic>
      <xdr:nvPicPr>
        <xdr:cNvPr id="19" name="図 18"/>
        <xdr:cNvPicPr>
          <a:picLocks noChangeAspect="1"/>
        </xdr:cNvPicPr>
      </xdr:nvPicPr>
      <xdr:blipFill>
        <a:blip xmlns:r="http://schemas.openxmlformats.org/officeDocument/2006/relationships" r:embed="rId17"/>
        <a:stretch>
          <a:fillRect/>
        </a:stretch>
      </xdr:blipFill>
      <xdr:spPr>
        <a:xfrm>
          <a:off x="0" y="87782400"/>
          <a:ext cx="12447619" cy="5342857"/>
        </a:xfrm>
        <a:prstGeom prst="rect">
          <a:avLst/>
        </a:prstGeom>
      </xdr:spPr>
    </xdr:pic>
    <xdr:clientData/>
  </xdr:twoCellAnchor>
  <xdr:twoCellAnchor editAs="oneCell">
    <xdr:from>
      <xdr:col>0</xdr:col>
      <xdr:colOff>0</xdr:colOff>
      <xdr:row>544</xdr:row>
      <xdr:rowOff>0</xdr:rowOff>
    </xdr:from>
    <xdr:to>
      <xdr:col>18</xdr:col>
      <xdr:colOff>93695</xdr:colOff>
      <xdr:row>575</xdr:row>
      <xdr:rowOff>56479</xdr:rowOff>
    </xdr:to>
    <xdr:pic>
      <xdr:nvPicPr>
        <xdr:cNvPr id="21" name="図 20"/>
        <xdr:cNvPicPr>
          <a:picLocks noChangeAspect="1"/>
        </xdr:cNvPicPr>
      </xdr:nvPicPr>
      <xdr:blipFill>
        <a:blip xmlns:r="http://schemas.openxmlformats.org/officeDocument/2006/relationships" r:embed="rId18"/>
        <a:stretch>
          <a:fillRect/>
        </a:stretch>
      </xdr:blipFill>
      <xdr:spPr>
        <a:xfrm>
          <a:off x="0" y="93268800"/>
          <a:ext cx="12438095" cy="5371429"/>
        </a:xfrm>
        <a:prstGeom prst="rect">
          <a:avLst/>
        </a:prstGeom>
      </xdr:spPr>
    </xdr:pic>
    <xdr:clientData/>
  </xdr:twoCellAnchor>
  <xdr:twoCellAnchor editAs="oneCell">
    <xdr:from>
      <xdr:col>0</xdr:col>
      <xdr:colOff>0</xdr:colOff>
      <xdr:row>576</xdr:row>
      <xdr:rowOff>0</xdr:rowOff>
    </xdr:from>
    <xdr:to>
      <xdr:col>18</xdr:col>
      <xdr:colOff>84171</xdr:colOff>
      <xdr:row>607</xdr:row>
      <xdr:rowOff>66002</xdr:rowOff>
    </xdr:to>
    <xdr:pic>
      <xdr:nvPicPr>
        <xdr:cNvPr id="22" name="図 21"/>
        <xdr:cNvPicPr>
          <a:picLocks noChangeAspect="1"/>
        </xdr:cNvPicPr>
      </xdr:nvPicPr>
      <xdr:blipFill>
        <a:blip xmlns:r="http://schemas.openxmlformats.org/officeDocument/2006/relationships" r:embed="rId19"/>
        <a:stretch>
          <a:fillRect/>
        </a:stretch>
      </xdr:blipFill>
      <xdr:spPr>
        <a:xfrm>
          <a:off x="0" y="98755200"/>
          <a:ext cx="12428571" cy="5380952"/>
        </a:xfrm>
        <a:prstGeom prst="rect">
          <a:avLst/>
        </a:prstGeom>
      </xdr:spPr>
    </xdr:pic>
    <xdr:clientData/>
  </xdr:twoCellAnchor>
  <xdr:twoCellAnchor editAs="oneCell">
    <xdr:from>
      <xdr:col>0</xdr:col>
      <xdr:colOff>0</xdr:colOff>
      <xdr:row>608</xdr:row>
      <xdr:rowOff>0</xdr:rowOff>
    </xdr:from>
    <xdr:to>
      <xdr:col>18</xdr:col>
      <xdr:colOff>93695</xdr:colOff>
      <xdr:row>638</xdr:row>
      <xdr:rowOff>161262</xdr:rowOff>
    </xdr:to>
    <xdr:pic>
      <xdr:nvPicPr>
        <xdr:cNvPr id="25" name="図 24"/>
        <xdr:cNvPicPr>
          <a:picLocks noChangeAspect="1"/>
        </xdr:cNvPicPr>
      </xdr:nvPicPr>
      <xdr:blipFill>
        <a:blip xmlns:r="http://schemas.openxmlformats.org/officeDocument/2006/relationships" r:embed="rId20"/>
        <a:stretch>
          <a:fillRect/>
        </a:stretch>
      </xdr:blipFill>
      <xdr:spPr>
        <a:xfrm>
          <a:off x="0" y="104241600"/>
          <a:ext cx="12438095" cy="5304762"/>
        </a:xfrm>
        <a:prstGeom prst="rect">
          <a:avLst/>
        </a:prstGeom>
      </xdr:spPr>
    </xdr:pic>
    <xdr:clientData/>
  </xdr:twoCellAnchor>
  <xdr:twoCellAnchor editAs="oneCell">
    <xdr:from>
      <xdr:col>0</xdr:col>
      <xdr:colOff>0</xdr:colOff>
      <xdr:row>640</xdr:row>
      <xdr:rowOff>0</xdr:rowOff>
    </xdr:from>
    <xdr:to>
      <xdr:col>18</xdr:col>
      <xdr:colOff>141314</xdr:colOff>
      <xdr:row>671</xdr:row>
      <xdr:rowOff>56479</xdr:rowOff>
    </xdr:to>
    <xdr:pic>
      <xdr:nvPicPr>
        <xdr:cNvPr id="27" name="図 26"/>
        <xdr:cNvPicPr>
          <a:picLocks noChangeAspect="1"/>
        </xdr:cNvPicPr>
      </xdr:nvPicPr>
      <xdr:blipFill>
        <a:blip xmlns:r="http://schemas.openxmlformats.org/officeDocument/2006/relationships" r:embed="rId21"/>
        <a:stretch>
          <a:fillRect/>
        </a:stretch>
      </xdr:blipFill>
      <xdr:spPr>
        <a:xfrm>
          <a:off x="0" y="109728000"/>
          <a:ext cx="12485714" cy="5371429"/>
        </a:xfrm>
        <a:prstGeom prst="rect">
          <a:avLst/>
        </a:prstGeom>
      </xdr:spPr>
    </xdr:pic>
    <xdr:clientData/>
  </xdr:twoCellAnchor>
  <xdr:twoCellAnchor editAs="oneCell">
    <xdr:from>
      <xdr:col>0</xdr:col>
      <xdr:colOff>0</xdr:colOff>
      <xdr:row>672</xdr:row>
      <xdr:rowOff>0</xdr:rowOff>
    </xdr:from>
    <xdr:to>
      <xdr:col>18</xdr:col>
      <xdr:colOff>93695</xdr:colOff>
      <xdr:row>703</xdr:row>
      <xdr:rowOff>27907</xdr:rowOff>
    </xdr:to>
    <xdr:pic>
      <xdr:nvPicPr>
        <xdr:cNvPr id="28" name="図 27"/>
        <xdr:cNvPicPr>
          <a:picLocks noChangeAspect="1"/>
        </xdr:cNvPicPr>
      </xdr:nvPicPr>
      <xdr:blipFill>
        <a:blip xmlns:r="http://schemas.openxmlformats.org/officeDocument/2006/relationships" r:embed="rId22"/>
        <a:stretch>
          <a:fillRect/>
        </a:stretch>
      </xdr:blipFill>
      <xdr:spPr>
        <a:xfrm>
          <a:off x="0" y="115214400"/>
          <a:ext cx="12438095" cy="5342857"/>
        </a:xfrm>
        <a:prstGeom prst="rect">
          <a:avLst/>
        </a:prstGeom>
      </xdr:spPr>
    </xdr:pic>
    <xdr:clientData/>
  </xdr:twoCellAnchor>
  <xdr:twoCellAnchor editAs="oneCell">
    <xdr:from>
      <xdr:col>0</xdr:col>
      <xdr:colOff>0</xdr:colOff>
      <xdr:row>704</xdr:row>
      <xdr:rowOff>0</xdr:rowOff>
    </xdr:from>
    <xdr:to>
      <xdr:col>18</xdr:col>
      <xdr:colOff>122267</xdr:colOff>
      <xdr:row>735</xdr:row>
      <xdr:rowOff>18383</xdr:rowOff>
    </xdr:to>
    <xdr:pic>
      <xdr:nvPicPr>
        <xdr:cNvPr id="29" name="図 28"/>
        <xdr:cNvPicPr>
          <a:picLocks noChangeAspect="1"/>
        </xdr:cNvPicPr>
      </xdr:nvPicPr>
      <xdr:blipFill>
        <a:blip xmlns:r="http://schemas.openxmlformats.org/officeDocument/2006/relationships" r:embed="rId23"/>
        <a:stretch>
          <a:fillRect/>
        </a:stretch>
      </xdr:blipFill>
      <xdr:spPr>
        <a:xfrm>
          <a:off x="0" y="120700800"/>
          <a:ext cx="12466667" cy="5333333"/>
        </a:xfrm>
        <a:prstGeom prst="rect">
          <a:avLst/>
        </a:prstGeom>
      </xdr:spPr>
    </xdr:pic>
    <xdr:clientData/>
  </xdr:twoCellAnchor>
  <xdr:twoCellAnchor editAs="oneCell">
    <xdr:from>
      <xdr:col>0</xdr:col>
      <xdr:colOff>0</xdr:colOff>
      <xdr:row>736</xdr:row>
      <xdr:rowOff>0</xdr:rowOff>
    </xdr:from>
    <xdr:to>
      <xdr:col>18</xdr:col>
      <xdr:colOff>122267</xdr:colOff>
      <xdr:row>767</xdr:row>
      <xdr:rowOff>37431</xdr:rowOff>
    </xdr:to>
    <xdr:pic>
      <xdr:nvPicPr>
        <xdr:cNvPr id="30" name="図 29"/>
        <xdr:cNvPicPr>
          <a:picLocks noChangeAspect="1"/>
        </xdr:cNvPicPr>
      </xdr:nvPicPr>
      <xdr:blipFill>
        <a:blip xmlns:r="http://schemas.openxmlformats.org/officeDocument/2006/relationships" r:embed="rId24"/>
        <a:stretch>
          <a:fillRect/>
        </a:stretch>
      </xdr:blipFill>
      <xdr:spPr>
        <a:xfrm>
          <a:off x="0" y="126187200"/>
          <a:ext cx="12466667" cy="535238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7"/>
  <sheetViews>
    <sheetView topLeftCell="C1" zoomScale="85" zoomScaleNormal="85" workbookViewId="0">
      <pane ySplit="12" topLeftCell="A58" activePane="bottomLeft" state="frozen"/>
      <selection pane="bottomLeft" activeCell="Q62" sqref="Q62"/>
    </sheetView>
  </sheetViews>
  <sheetFormatPr defaultRowHeight="13.5" x14ac:dyDescent="0.15"/>
  <cols>
    <col min="1" max="1" width="5.25" customWidth="1"/>
    <col min="2" max="2" width="9" style="38"/>
    <col min="4" max="4" width="15.375" style="51" bestFit="1" customWidth="1"/>
    <col min="5" max="5" width="13.125" bestFit="1" customWidth="1"/>
    <col min="6" max="6" width="10.5" bestFit="1" customWidth="1"/>
    <col min="7" max="7" width="15.875" style="51" bestFit="1" customWidth="1"/>
    <col min="10" max="10" width="8.875" style="32" bestFit="1" customWidth="1"/>
    <col min="11" max="11" width="8.875" customWidth="1"/>
    <col min="12" max="12" width="8.875" bestFit="1" customWidth="1"/>
    <col min="13" max="13" width="11" bestFit="1" customWidth="1"/>
    <col min="14" max="14" width="11.25" bestFit="1" customWidth="1"/>
    <col min="15" max="16" width="12.625" bestFit="1" customWidth="1"/>
    <col min="17" max="17" width="11.5" bestFit="1" customWidth="1"/>
    <col min="18" max="18" width="11" bestFit="1" customWidth="1"/>
  </cols>
  <sheetData>
    <row r="1" spans="1:19" x14ac:dyDescent="0.15">
      <c r="A1" t="s">
        <v>125</v>
      </c>
      <c r="C1" s="6"/>
      <c r="D1" s="25"/>
      <c r="F1" s="6"/>
      <c r="G1" s="25"/>
      <c r="J1" s="69" t="s">
        <v>0</v>
      </c>
      <c r="K1" s="69"/>
      <c r="L1" s="69" t="s">
        <v>1</v>
      </c>
      <c r="M1" s="69"/>
      <c r="N1" s="14" t="s">
        <v>16</v>
      </c>
      <c r="O1" s="26" t="s">
        <v>23</v>
      </c>
      <c r="Q1" s="66"/>
      <c r="R1" s="66"/>
    </row>
    <row r="2" spans="1:19" x14ac:dyDescent="0.15">
      <c r="A2" t="s">
        <v>126</v>
      </c>
      <c r="C2" s="6"/>
      <c r="D2" s="25"/>
      <c r="F2" s="6"/>
      <c r="G2" s="25"/>
      <c r="J2" s="67">
        <v>100000</v>
      </c>
      <c r="K2" s="67"/>
      <c r="L2" s="68">
        <v>0.05</v>
      </c>
      <c r="M2" s="68"/>
      <c r="N2" s="15">
        <f>COUNTIF(J14:J129,"&gt;1")/COUNTIF(A14:A129,"&gt;=1")</f>
        <v>0.54716981132075471</v>
      </c>
      <c r="O2" s="11">
        <f>AVERAGE(O14:O129)</f>
        <v>2.7467312188101074</v>
      </c>
      <c r="Q2" s="66"/>
      <c r="R2" s="66"/>
    </row>
    <row r="3" spans="1:19" x14ac:dyDescent="0.15">
      <c r="A3" t="s">
        <v>127</v>
      </c>
      <c r="C3" s="6"/>
      <c r="D3" s="25"/>
      <c r="F3" s="6"/>
      <c r="G3" s="25"/>
      <c r="J3"/>
    </row>
    <row r="4" spans="1:19" x14ac:dyDescent="0.15">
      <c r="A4" t="s">
        <v>128</v>
      </c>
      <c r="C4" s="6"/>
      <c r="D4" s="25"/>
      <c r="F4" s="6"/>
      <c r="G4" s="25"/>
      <c r="J4" s="20" t="s">
        <v>18</v>
      </c>
      <c r="K4" s="20" t="s">
        <v>19</v>
      </c>
      <c r="L4" s="22" t="s">
        <v>20</v>
      </c>
      <c r="M4" s="23" t="s">
        <v>21</v>
      </c>
      <c r="N4" s="27" t="s">
        <v>24</v>
      </c>
      <c r="O4" s="29" t="s">
        <v>25</v>
      </c>
      <c r="P4" s="73" t="s">
        <v>162</v>
      </c>
      <c r="Q4" s="74" t="s">
        <v>163</v>
      </c>
      <c r="R4" t="s">
        <v>172</v>
      </c>
    </row>
    <row r="5" spans="1:19" ht="13.5" customHeight="1" x14ac:dyDescent="0.15">
      <c r="A5" s="70" t="s">
        <v>129</v>
      </c>
      <c r="B5" s="70"/>
      <c r="C5" s="70"/>
      <c r="D5" s="70"/>
      <c r="E5" s="70"/>
      <c r="F5" s="70"/>
      <c r="G5" s="70"/>
      <c r="J5" s="21">
        <f>SUM(J14:J287)</f>
        <v>34704.000000000015</v>
      </c>
      <c r="K5" s="21">
        <f>SUM(K14:K287)</f>
        <v>17374997.420242842</v>
      </c>
      <c r="L5" s="24">
        <f>SUM(L14:L287)</f>
        <v>-8342.0000000000091</v>
      </c>
      <c r="M5" s="24">
        <f>SUM(M14:M287)</f>
        <v>-4048811.0002237596</v>
      </c>
      <c r="N5" s="24"/>
      <c r="O5" s="76">
        <f>J2+K5+M5</f>
        <v>13426186.420019083</v>
      </c>
      <c r="P5">
        <f>COUNTIF(J14:J188,"&gt;1")</f>
        <v>58</v>
      </c>
      <c r="Q5">
        <f>COUNTIF(L14:L188,"&lt;0")</f>
        <v>47</v>
      </c>
      <c r="R5" s="78">
        <f>AVERAGE(Q123,Q105,Q95,Q85,Q72,Q62,Q53,Q46,Q36,Q25)</f>
        <v>0.58126681502866062</v>
      </c>
    </row>
    <row r="6" spans="1:19" x14ac:dyDescent="0.15">
      <c r="A6" s="70"/>
      <c r="B6" s="70"/>
      <c r="C6" s="70"/>
      <c r="D6" s="70"/>
      <c r="E6" s="70"/>
      <c r="F6" s="70"/>
      <c r="G6" s="70"/>
      <c r="H6" s="36"/>
      <c r="I6" s="36"/>
      <c r="J6" s="36"/>
      <c r="K6" s="36"/>
      <c r="L6" s="36"/>
      <c r="M6" s="36"/>
      <c r="N6" s="36"/>
      <c r="O6" s="39"/>
    </row>
    <row r="7" spans="1:19" x14ac:dyDescent="0.15">
      <c r="A7" s="70"/>
      <c r="B7" s="70"/>
      <c r="C7" s="70"/>
      <c r="D7" s="70"/>
      <c r="E7" s="70"/>
      <c r="F7" s="70"/>
      <c r="G7" s="70"/>
      <c r="H7" s="36"/>
      <c r="I7" s="36"/>
      <c r="J7" s="36"/>
      <c r="K7" s="36"/>
      <c r="L7" s="36"/>
      <c r="M7" s="36"/>
      <c r="N7" s="36"/>
    </row>
    <row r="8" spans="1:19" x14ac:dyDescent="0.15">
      <c r="A8" s="70"/>
      <c r="B8" s="70"/>
      <c r="C8" s="70"/>
      <c r="D8" s="70"/>
      <c r="E8" s="70"/>
      <c r="F8" s="70"/>
      <c r="G8" s="70"/>
      <c r="H8" s="36"/>
      <c r="I8" s="36"/>
      <c r="J8" s="36"/>
      <c r="K8" s="36"/>
      <c r="L8" s="36"/>
      <c r="M8" s="36"/>
      <c r="N8" s="36"/>
    </row>
    <row r="9" spans="1:19" x14ac:dyDescent="0.15">
      <c r="B9" s="28"/>
      <c r="C9" s="13"/>
      <c r="D9" s="28"/>
      <c r="E9" s="13"/>
      <c r="F9" s="13"/>
      <c r="G9" s="28"/>
      <c r="H9" s="13"/>
      <c r="I9" s="16"/>
      <c r="J9" s="13"/>
      <c r="K9" s="13"/>
      <c r="L9" s="13"/>
      <c r="M9" s="13"/>
      <c r="N9" s="13"/>
      <c r="O9" s="13"/>
    </row>
    <row r="10" spans="1:19" x14ac:dyDescent="0.15">
      <c r="D10"/>
      <c r="G10"/>
      <c r="J10">
        <f>COUNTIF(J14:J126,"&lt;50")</f>
        <v>5</v>
      </c>
    </row>
    <row r="11" spans="1:19" x14ac:dyDescent="0.15">
      <c r="C11" t="s">
        <v>11</v>
      </c>
      <c r="D11" s="30"/>
      <c r="G11" s="30"/>
      <c r="I11">
        <f>COUNTIF(I94:I181,"ー")</f>
        <v>0</v>
      </c>
      <c r="J11">
        <f>COUNTIF(J14:J126,"&gt;0")</f>
        <v>56</v>
      </c>
      <c r="L11">
        <f>COUNTIF(L14:L126,"&lt;0")</f>
        <v>47</v>
      </c>
      <c r="N11" s="41"/>
      <c r="S11" s="77">
        <f>S12/Q5</f>
        <v>0.61702127659574468</v>
      </c>
    </row>
    <row r="12" spans="1:19" x14ac:dyDescent="0.15">
      <c r="A12" s="19" t="s">
        <v>17</v>
      </c>
      <c r="B12" s="2" t="s">
        <v>2</v>
      </c>
      <c r="C12" s="2" t="s">
        <v>3</v>
      </c>
      <c r="D12" s="2" t="s">
        <v>4</v>
      </c>
      <c r="E12" s="2" t="s">
        <v>5</v>
      </c>
      <c r="F12" s="2" t="s">
        <v>6</v>
      </c>
      <c r="G12" s="2" t="s">
        <v>7</v>
      </c>
      <c r="H12" s="2" t="s">
        <v>8</v>
      </c>
      <c r="I12" s="2" t="s">
        <v>22</v>
      </c>
      <c r="J12" s="2" t="s">
        <v>9</v>
      </c>
      <c r="K12" s="2" t="s">
        <v>14</v>
      </c>
      <c r="L12" s="2" t="s">
        <v>10</v>
      </c>
      <c r="M12" s="2" t="s">
        <v>15</v>
      </c>
      <c r="N12" s="2" t="s">
        <v>13</v>
      </c>
      <c r="O12" s="2" t="s">
        <v>12</v>
      </c>
      <c r="P12" s="7"/>
      <c r="S12">
        <f>COUNTIF(S14:S128,"0")</f>
        <v>29</v>
      </c>
    </row>
    <row r="13" spans="1:19" x14ac:dyDescent="0.15">
      <c r="A13" s="7"/>
      <c r="B13" s="7"/>
      <c r="C13" s="3"/>
      <c r="D13" s="35" t="s">
        <v>121</v>
      </c>
      <c r="E13" s="7"/>
      <c r="F13" s="7"/>
      <c r="G13" s="7"/>
      <c r="H13" s="7"/>
      <c r="I13" s="7"/>
      <c r="J13" s="52"/>
      <c r="K13" s="52"/>
      <c r="L13" s="7"/>
      <c r="M13" s="7"/>
      <c r="N13" s="7"/>
      <c r="O13" s="7"/>
    </row>
    <row r="14" spans="1:19" x14ac:dyDescent="0.15">
      <c r="A14" s="17">
        <v>1</v>
      </c>
      <c r="B14" s="38" t="s">
        <v>119</v>
      </c>
      <c r="C14" s="3">
        <f>$J$2*$L$2/(E14-F14)/10000</f>
        <v>0.23148148148148184</v>
      </c>
      <c r="D14" s="51">
        <v>42043</v>
      </c>
      <c r="E14" s="17">
        <v>196.63</v>
      </c>
      <c r="F14" s="17">
        <v>194.47</v>
      </c>
      <c r="G14" s="51">
        <v>42071</v>
      </c>
      <c r="H14" s="17">
        <v>200.75</v>
      </c>
      <c r="I14" s="17" t="s">
        <v>122</v>
      </c>
      <c r="J14" s="8">
        <f>ABS(H14-E14)*100</f>
        <v>412.00000000000045</v>
      </c>
      <c r="K14" s="8">
        <f>J14*C14*100</f>
        <v>9537.037037037062</v>
      </c>
      <c r="L14" s="9"/>
      <c r="M14" s="10"/>
      <c r="N14" s="4">
        <f>J2+J14*C14*100</f>
        <v>109537.03703703707</v>
      </c>
      <c r="O14" s="5">
        <f t="shared" ref="O14:O65" si="0">(H14-E14)/(E14-F14)</f>
        <v>1.9074074074074125</v>
      </c>
      <c r="S14">
        <f>F14-H14</f>
        <v>-6.2800000000000011</v>
      </c>
    </row>
    <row r="15" spans="1:19" x14ac:dyDescent="0.15">
      <c r="A15" s="17">
        <v>2</v>
      </c>
      <c r="B15" s="38" t="s">
        <v>120</v>
      </c>
      <c r="C15" s="3">
        <f>IFERROR(ABS(N14*$L$2/(E15-F15)/10000),"")</f>
        <v>0.22538484987044602</v>
      </c>
      <c r="D15" s="51">
        <v>42072</v>
      </c>
      <c r="E15" s="17">
        <v>199.53</v>
      </c>
      <c r="F15" s="17">
        <v>201.96</v>
      </c>
      <c r="G15" s="51">
        <v>42091</v>
      </c>
      <c r="H15" s="17">
        <v>199.07</v>
      </c>
      <c r="I15" s="17" t="s">
        <v>122</v>
      </c>
      <c r="J15" s="8">
        <f>IFERROR(IF(AND(B15="売",I15="勝"),ABS(E15-H15),IF(AND(B15="買",I15="勝"),ABS(E15-H15),""))*100,"")</f>
        <v>46.000000000000796</v>
      </c>
      <c r="K15" s="8">
        <f>IFERROR(IF(J15&gt;=1,J15*C15*100,""),"")</f>
        <v>1036.7703094040696</v>
      </c>
      <c r="L15" s="9" t="str">
        <f>IFERROR(IF(AND(B15="売",I15="負"),(E15-H15),IF(AND(B15="買",I15="負"),(H15-E15),""))*100,"")</f>
        <v/>
      </c>
      <c r="M15" s="10" t="str">
        <f>IFERROR(IF(L15&lt;=1,L15*C15*100,""),"")</f>
        <v/>
      </c>
      <c r="N15" s="4">
        <f t="shared" ref="N15:N66" si="1">IF(I15="ー",N14+0,IF(M15&lt;1,M15+N14,K15+N14))</f>
        <v>110573.80734644113</v>
      </c>
      <c r="O15" s="5">
        <f t="shared" si="0"/>
        <v>0.18930041152263649</v>
      </c>
      <c r="S15">
        <f t="shared" ref="S15:S78" si="2">F15-H15</f>
        <v>2.8900000000000148</v>
      </c>
    </row>
    <row r="16" spans="1:19" x14ac:dyDescent="0.15">
      <c r="A16" s="17">
        <v>3</v>
      </c>
      <c r="B16" s="38" t="s">
        <v>119</v>
      </c>
      <c r="C16" s="3">
        <f>IFERROR(ABS(N15*$L$2/(E16-F16)/10000),"")</f>
        <v>0.31235538798429519</v>
      </c>
      <c r="D16" s="51">
        <v>42091</v>
      </c>
      <c r="E16" s="17">
        <v>200.28</v>
      </c>
      <c r="F16" s="17">
        <v>198.51</v>
      </c>
      <c r="G16" s="51">
        <v>42116</v>
      </c>
      <c r="H16" s="17">
        <v>202.66</v>
      </c>
      <c r="I16" s="17" t="s">
        <v>122</v>
      </c>
      <c r="J16" s="8">
        <f t="shared" ref="J16:J18" si="3">IFERROR(IF(AND(B16="売",I16="勝"),ABS(E16-H16),IF(AND(B16="買",I16="勝"),ABS(E16-H16),""))*100,"")</f>
        <v>237.99999999999955</v>
      </c>
      <c r="K16" s="8">
        <f t="shared" ref="K16:K18" si="4">IFERROR(IF(J16&gt;=1,J16*C16*100,""),"")</f>
        <v>7434.0582340262117</v>
      </c>
      <c r="L16" s="9" t="str">
        <f t="shared" ref="L16:L36" si="5">IFERROR(IF(AND(B16="売",I16="負"),(E16-H16),IF(AND(B16="買",I16="負"),(H16-E16),""))*100,"")</f>
        <v/>
      </c>
      <c r="M16" s="10" t="str">
        <f t="shared" ref="M16:M36" si="6">IFERROR(IF(L16&lt;=1,L16*C16*100,""),"")</f>
        <v/>
      </c>
      <c r="N16" s="4">
        <f t="shared" si="1"/>
        <v>118007.86558046733</v>
      </c>
      <c r="O16" s="5">
        <f t="shared" si="0"/>
        <v>1.3446327683615715</v>
      </c>
      <c r="S16">
        <f t="shared" si="2"/>
        <v>-4.1500000000000057</v>
      </c>
    </row>
    <row r="17" spans="1:21" x14ac:dyDescent="0.15">
      <c r="A17" s="17">
        <v>4</v>
      </c>
      <c r="B17" s="38" t="s">
        <v>120</v>
      </c>
      <c r="C17" s="3">
        <f>IFERROR(ABS(N16*$L$2/(E17-F17)/10000),"")</f>
        <v>0.38818376835679785</v>
      </c>
      <c r="D17" s="51">
        <v>42115</v>
      </c>
      <c r="E17" s="17">
        <v>203.81</v>
      </c>
      <c r="F17" s="17">
        <v>205.33</v>
      </c>
      <c r="G17" s="51">
        <v>42134</v>
      </c>
      <c r="H17" s="17">
        <v>199.19</v>
      </c>
      <c r="I17" s="17" t="s">
        <v>122</v>
      </c>
      <c r="J17" s="8">
        <f t="shared" si="3"/>
        <v>462.00000000000045</v>
      </c>
      <c r="K17" s="8">
        <f t="shared" si="4"/>
        <v>17934.090098084078</v>
      </c>
      <c r="L17" s="9" t="str">
        <f t="shared" si="5"/>
        <v/>
      </c>
      <c r="M17" s="10" t="str">
        <f t="shared" si="6"/>
        <v/>
      </c>
      <c r="N17" s="4">
        <f t="shared" si="1"/>
        <v>135941.9556785514</v>
      </c>
      <c r="O17" s="5">
        <f t="shared" si="0"/>
        <v>3.0394736842105088</v>
      </c>
      <c r="S17">
        <f t="shared" si="2"/>
        <v>6.1400000000000148</v>
      </c>
    </row>
    <row r="18" spans="1:21" x14ac:dyDescent="0.15">
      <c r="A18" s="17">
        <v>5</v>
      </c>
      <c r="B18" s="38" t="s">
        <v>119</v>
      </c>
      <c r="C18" s="3">
        <f>IFERROR(ABS(N17*$L$2/(E18-F18)/10000),"")</f>
        <v>0.45926336377889304</v>
      </c>
      <c r="D18" s="51">
        <v>42136</v>
      </c>
      <c r="E18" s="17">
        <v>199.23</v>
      </c>
      <c r="F18" s="17">
        <v>197.75</v>
      </c>
      <c r="G18" s="51">
        <v>42140</v>
      </c>
      <c r="H18" s="17">
        <v>197.95</v>
      </c>
      <c r="I18" s="17" t="s">
        <v>123</v>
      </c>
      <c r="J18" s="8" t="str">
        <f t="shared" si="3"/>
        <v/>
      </c>
      <c r="K18" s="8" t="str">
        <f t="shared" si="4"/>
        <v/>
      </c>
      <c r="L18" s="9">
        <f t="shared" si="5"/>
        <v>-128.00000000000011</v>
      </c>
      <c r="M18" s="10">
        <f t="shared" si="6"/>
        <v>-5878.5710563698358</v>
      </c>
      <c r="N18" s="4">
        <f t="shared" si="1"/>
        <v>130063.38462218156</v>
      </c>
      <c r="O18" s="5"/>
      <c r="S18">
        <f t="shared" si="2"/>
        <v>-0.19999999999998863</v>
      </c>
    </row>
    <row r="19" spans="1:21" x14ac:dyDescent="0.15">
      <c r="A19" s="17">
        <v>6</v>
      </c>
      <c r="B19" s="38" t="s">
        <v>120</v>
      </c>
      <c r="C19" s="3">
        <f>IFERROR(ABS(N18*$L$2/(E19-F19)/10000),"")</f>
        <v>0.47468388548241292</v>
      </c>
      <c r="D19" s="51">
        <v>42150</v>
      </c>
      <c r="E19" s="17">
        <v>196.29</v>
      </c>
      <c r="F19" s="17">
        <v>197.66</v>
      </c>
      <c r="G19" s="51">
        <v>42163</v>
      </c>
      <c r="H19" s="17">
        <v>195.68</v>
      </c>
      <c r="I19" s="17" t="s">
        <v>122</v>
      </c>
      <c r="J19" s="8">
        <f>IFERROR(IF(AND(B19="売",I19="勝"),ABS(E19-H19),IF(AND(B19="買",I19="勝"),ABS(E19-H19),""))*100,"")</f>
        <v>60.999999999998522</v>
      </c>
      <c r="K19" s="8">
        <f>IFERROR(IF(J19&gt;=1,J19*C19*100,""),"")</f>
        <v>2895.5717014426486</v>
      </c>
      <c r="L19" s="9" t="str">
        <f t="shared" si="5"/>
        <v/>
      </c>
      <c r="M19" s="10" t="str">
        <f t="shared" si="6"/>
        <v/>
      </c>
      <c r="N19" s="4">
        <f t="shared" si="1"/>
        <v>132958.95632362421</v>
      </c>
      <c r="O19" s="5">
        <f t="shared" si="0"/>
        <v>0.44525547445254249</v>
      </c>
      <c r="S19">
        <f t="shared" si="2"/>
        <v>1.9799999999999898</v>
      </c>
    </row>
    <row r="20" spans="1:21" x14ac:dyDescent="0.15">
      <c r="A20" s="17">
        <v>7</v>
      </c>
      <c r="B20" s="38" t="s">
        <v>119</v>
      </c>
      <c r="C20" s="3">
        <f>IFERROR(ABS(N19*$L$2/(E20-F20)/10000),"")</f>
        <v>0.39808070755576414</v>
      </c>
      <c r="D20" s="51">
        <v>42165</v>
      </c>
      <c r="E20" s="17">
        <v>196.89</v>
      </c>
      <c r="F20" s="17">
        <v>195.22</v>
      </c>
      <c r="G20" s="51">
        <v>42186</v>
      </c>
      <c r="H20" s="17">
        <v>197.61</v>
      </c>
      <c r="I20" s="17" t="s">
        <v>122</v>
      </c>
      <c r="J20" s="8">
        <f t="shared" ref="J20" si="7">IFERROR(IF(AND(B20="売",I20="勝"),ABS(E20-H20),IF(AND(B20="買",I20="勝"),ABS(E20-H20),""))*100,"")</f>
        <v>72.000000000002728</v>
      </c>
      <c r="K20" s="8">
        <f t="shared" ref="K20" si="8">IFERROR(IF(J20&gt;=1,J20*C20*100,""),"")</f>
        <v>2866.1810944016102</v>
      </c>
      <c r="L20" s="9" t="str">
        <f t="shared" si="5"/>
        <v/>
      </c>
      <c r="M20" s="10" t="str">
        <f t="shared" si="6"/>
        <v/>
      </c>
      <c r="N20" s="4">
        <f t="shared" si="1"/>
        <v>135825.13741802581</v>
      </c>
      <c r="O20" s="5">
        <f t="shared" si="0"/>
        <v>0.43113772455091776</v>
      </c>
      <c r="S20">
        <f t="shared" si="2"/>
        <v>-2.3900000000000148</v>
      </c>
    </row>
    <row r="21" spans="1:21" x14ac:dyDescent="0.15">
      <c r="A21" s="17">
        <v>8</v>
      </c>
      <c r="B21" s="38" t="s">
        <v>120</v>
      </c>
      <c r="C21" s="3">
        <f>IFERROR(ABS(N20*$L$2/(E21-F21)/10000),"")</f>
        <v>0.44679321519087978</v>
      </c>
      <c r="D21" s="51">
        <v>42231</v>
      </c>
      <c r="E21" s="17">
        <v>197.49</v>
      </c>
      <c r="F21" s="17">
        <v>199.01</v>
      </c>
      <c r="G21" s="51">
        <v>42234</v>
      </c>
      <c r="H21" s="17">
        <v>199.01</v>
      </c>
      <c r="I21" s="17" t="s">
        <v>123</v>
      </c>
      <c r="J21" s="8" t="str">
        <f>IFERROR(IF(AND(B21="売",I21="勝"),ABS(E21-H21),IF(AND(B21="買",I21="勝"),ABS(E21-H21),""))*100,"")</f>
        <v/>
      </c>
      <c r="K21" s="8" t="str">
        <f>IFERROR(IF(J21&gt;=1,J21*C21*100,""),"")</f>
        <v/>
      </c>
      <c r="L21" s="9">
        <f t="shared" si="5"/>
        <v>-151.99999999999818</v>
      </c>
      <c r="M21" s="10">
        <f t="shared" si="6"/>
        <v>-6791.2568709012912</v>
      </c>
      <c r="N21" s="4">
        <f t="shared" si="1"/>
        <v>129033.88054712453</v>
      </c>
      <c r="O21" s="5"/>
      <c r="S21">
        <f t="shared" si="2"/>
        <v>0</v>
      </c>
    </row>
    <row r="22" spans="1:21" x14ac:dyDescent="0.15">
      <c r="A22" s="17">
        <v>9</v>
      </c>
      <c r="B22" s="38" t="s">
        <v>120</v>
      </c>
      <c r="C22" s="3">
        <f>IFERROR(ABS(N21*$L$2/(E22-F22)/10000),"")</f>
        <v>0.26226398485188135</v>
      </c>
      <c r="D22" s="51">
        <v>42269</v>
      </c>
      <c r="E22" s="17">
        <v>199.55</v>
      </c>
      <c r="F22" s="17">
        <v>202.01</v>
      </c>
      <c r="G22" s="51">
        <v>42283</v>
      </c>
      <c r="H22" s="17">
        <v>202.01</v>
      </c>
      <c r="I22" s="17" t="s">
        <v>123</v>
      </c>
      <c r="J22" s="8" t="str">
        <f t="shared" ref="J22:J23" si="9">IFERROR(IF(AND(B22="売",I22="勝"),ABS(E22-H22),IF(AND(B22="買",I22="勝"),ABS(E22-H22),""))*100,"")</f>
        <v/>
      </c>
      <c r="K22" s="8" t="str">
        <f t="shared" ref="K22:K23" si="10">IFERROR(IF(J22&gt;=1,J22*C22*100,""),"")</f>
        <v/>
      </c>
      <c r="L22" s="9">
        <f t="shared" si="5"/>
        <v>-245.99999999999795</v>
      </c>
      <c r="M22" s="10">
        <f t="shared" si="6"/>
        <v>-6451.6940273562268</v>
      </c>
      <c r="N22" s="4">
        <f t="shared" si="1"/>
        <v>122582.18651976831</v>
      </c>
      <c r="O22" s="5"/>
      <c r="S22">
        <f t="shared" si="2"/>
        <v>0</v>
      </c>
    </row>
    <row r="23" spans="1:21" x14ac:dyDescent="0.15">
      <c r="A23" s="17">
        <v>10</v>
      </c>
      <c r="B23" s="38" t="s">
        <v>120</v>
      </c>
      <c r="C23" s="3">
        <f>IFERROR(ABS(N22*$L$2/(E23-F23)/10000),"")</f>
        <v>0.6735284973613459</v>
      </c>
      <c r="D23" s="51">
        <v>42284</v>
      </c>
      <c r="E23" s="17">
        <v>200.7</v>
      </c>
      <c r="F23" s="17">
        <v>201.61</v>
      </c>
      <c r="G23" s="51">
        <v>42289</v>
      </c>
      <c r="H23" s="17">
        <v>200.45</v>
      </c>
      <c r="I23" s="17" t="s">
        <v>122</v>
      </c>
      <c r="J23" s="8">
        <f t="shared" si="9"/>
        <v>25</v>
      </c>
      <c r="K23" s="8">
        <f t="shared" si="10"/>
        <v>1683.8212434033646</v>
      </c>
      <c r="L23" s="9" t="str">
        <f t="shared" si="5"/>
        <v/>
      </c>
      <c r="M23" s="10" t="str">
        <f t="shared" si="6"/>
        <v/>
      </c>
      <c r="N23" s="4">
        <f t="shared" si="1"/>
        <v>124266.00776317167</v>
      </c>
      <c r="O23" s="5">
        <f t="shared" si="0"/>
        <v>0.2747252747252672</v>
      </c>
      <c r="P23" t="s">
        <v>168</v>
      </c>
      <c r="Q23" s="11">
        <f>AVERAGE(O14:O26)</f>
        <v>1.4536900020345616</v>
      </c>
      <c r="S23">
        <f t="shared" si="2"/>
        <v>1.160000000000025</v>
      </c>
    </row>
    <row r="24" spans="1:21" x14ac:dyDescent="0.15">
      <c r="A24" s="17">
        <v>11</v>
      </c>
      <c r="B24" s="38" t="s">
        <v>119</v>
      </c>
      <c r="C24" s="3">
        <f>IFERROR(ABS(N23*$L$2/(E24-F24)/10000),"")</f>
        <v>0.58616041397722363</v>
      </c>
      <c r="D24" s="51">
        <v>42289</v>
      </c>
      <c r="E24" s="17">
        <v>200.58</v>
      </c>
      <c r="F24" s="17">
        <v>199.52</v>
      </c>
      <c r="G24" s="51">
        <v>42315</v>
      </c>
      <c r="H24" s="17">
        <v>205.8</v>
      </c>
      <c r="I24" s="17" t="s">
        <v>122</v>
      </c>
      <c r="J24" s="8">
        <f>IFERROR(IF(AND(B24="売",I24="勝"),ABS(E24-H24),IF(AND(B24="買",I24="勝"),ABS(E24-H24),""))*100,"")</f>
        <v>521.99999999999989</v>
      </c>
      <c r="K24" s="8">
        <f>IFERROR(IF(J24&gt;=1,J24*C24*100,""),"")</f>
        <v>30597.573609611067</v>
      </c>
      <c r="L24" s="9" t="str">
        <f t="shared" si="5"/>
        <v/>
      </c>
      <c r="M24" s="10" t="str">
        <f t="shared" si="6"/>
        <v/>
      </c>
      <c r="N24" s="4">
        <f t="shared" si="1"/>
        <v>154863.58137278273</v>
      </c>
      <c r="O24" s="5">
        <f t="shared" si="0"/>
        <v>4.9245283018867809</v>
      </c>
      <c r="P24" t="s">
        <v>166</v>
      </c>
      <c r="Q24" s="77">
        <f>COUNTIF(K14:K26,"&gt;0")/COUNTIF(N14:N26,"&gt;0")</f>
        <v>0.69230769230769229</v>
      </c>
      <c r="S24">
        <f t="shared" si="2"/>
        <v>-6.2800000000000011</v>
      </c>
    </row>
    <row r="25" spans="1:21" x14ac:dyDescent="0.15">
      <c r="A25" s="17">
        <v>12</v>
      </c>
      <c r="B25" s="38" t="s">
        <v>120</v>
      </c>
      <c r="C25" s="3">
        <f>IFERROR(ABS(N24*$L$2/(E25-F25)/10000),"")</f>
        <v>0.27555797397292281</v>
      </c>
      <c r="D25" s="51">
        <v>42324</v>
      </c>
      <c r="E25" s="17">
        <v>204.14</v>
      </c>
      <c r="F25" s="17">
        <v>206.95</v>
      </c>
      <c r="G25" s="51">
        <v>42338</v>
      </c>
      <c r="H25" s="17">
        <v>206.95</v>
      </c>
      <c r="I25" s="17" t="s">
        <v>123</v>
      </c>
      <c r="J25" s="8" t="str">
        <f t="shared" ref="J25:J36" si="11">IFERROR(IF(AND(B25="売",I25="勝"),ABS(E25-H25),IF(AND(B25="買",I25="勝"),ABS(E25-H25),""))*100,"")</f>
        <v/>
      </c>
      <c r="K25" s="8" t="str">
        <f t="shared" ref="K25" si="12">IFERROR(IF(J25&gt;=1,J25*C25*100,""),"")</f>
        <v/>
      </c>
      <c r="L25" s="9">
        <f t="shared" si="5"/>
        <v>-281.00000000000023</v>
      </c>
      <c r="M25" s="10">
        <f t="shared" si="6"/>
        <v>-7743.1790686391369</v>
      </c>
      <c r="N25" s="4">
        <f t="shared" si="1"/>
        <v>147120.40230414359</v>
      </c>
      <c r="O25" s="5"/>
      <c r="P25" t="s">
        <v>161</v>
      </c>
      <c r="Q25" s="77">
        <f>Q26/J2</f>
        <v>0.50995178331907021</v>
      </c>
      <c r="S25">
        <f t="shared" si="2"/>
        <v>0</v>
      </c>
    </row>
    <row r="26" spans="1:21" x14ac:dyDescent="0.15">
      <c r="A26" s="17">
        <v>13</v>
      </c>
      <c r="B26" s="38" t="s">
        <v>119</v>
      </c>
      <c r="C26" s="3">
        <f>IFERROR(ABS(N25*$L$2/(E26-F26)/10000),"")</f>
        <v>0.30271687716901891</v>
      </c>
      <c r="D26" s="51">
        <v>42338</v>
      </c>
      <c r="E26" s="17">
        <v>207.57</v>
      </c>
      <c r="F26" s="17">
        <v>205.14</v>
      </c>
      <c r="G26" s="51">
        <v>42352</v>
      </c>
      <c r="H26" s="17">
        <v>208.85</v>
      </c>
      <c r="I26" s="17" t="s">
        <v>122</v>
      </c>
      <c r="J26" s="8">
        <f t="shared" si="11"/>
        <v>128.00000000000011</v>
      </c>
      <c r="K26" s="8">
        <f t="shared" ref="K26:K36" si="13">IFERROR(IF(J26&gt;=1,J26*C26*100,""),"")</f>
        <v>3874.7760277634457</v>
      </c>
      <c r="L26" s="9" t="str">
        <f t="shared" si="5"/>
        <v/>
      </c>
      <c r="M26" s="10" t="str">
        <f t="shared" si="6"/>
        <v/>
      </c>
      <c r="N26" s="4">
        <f t="shared" si="1"/>
        <v>150995.17833190702</v>
      </c>
      <c r="O26" s="5">
        <f t="shared" si="0"/>
        <v>0.52674897119341457</v>
      </c>
      <c r="P26" t="s">
        <v>160</v>
      </c>
      <c r="Q26" s="71">
        <f>N26-J2</f>
        <v>50995.178331907024</v>
      </c>
      <c r="S26">
        <f t="shared" si="2"/>
        <v>-3.710000000000008</v>
      </c>
    </row>
    <row r="27" spans="1:21" x14ac:dyDescent="0.15">
      <c r="A27" s="50"/>
      <c r="B27" s="50"/>
      <c r="C27" s="3"/>
      <c r="D27" s="59" t="s">
        <v>124</v>
      </c>
      <c r="E27" s="50"/>
      <c r="F27" s="50"/>
      <c r="H27" s="50"/>
      <c r="I27" s="50"/>
      <c r="J27" s="8"/>
      <c r="K27" s="8"/>
      <c r="L27" s="9"/>
      <c r="M27" s="10"/>
      <c r="N27" s="4"/>
      <c r="O27" s="5"/>
    </row>
    <row r="28" spans="1:21" x14ac:dyDescent="0.15">
      <c r="A28" s="17">
        <v>14</v>
      </c>
      <c r="B28" s="38" t="s">
        <v>119</v>
      </c>
      <c r="C28" s="3">
        <f>IFERROR(ABS(N26*$L$2/(E28-F28)/10000),"")</f>
        <v>0.36472265297562201</v>
      </c>
      <c r="D28" s="51">
        <v>42017</v>
      </c>
      <c r="E28" s="17">
        <v>203.2</v>
      </c>
      <c r="F28" s="17">
        <v>201.13</v>
      </c>
      <c r="G28" s="51">
        <v>42042</v>
      </c>
      <c r="H28" s="17">
        <v>206.96</v>
      </c>
      <c r="I28" s="17" t="s">
        <v>122</v>
      </c>
      <c r="J28" s="8">
        <f t="shared" si="11"/>
        <v>376.00000000000193</v>
      </c>
      <c r="K28" s="8">
        <f t="shared" si="13"/>
        <v>13713.571751883459</v>
      </c>
      <c r="L28" s="9" t="str">
        <f t="shared" si="5"/>
        <v/>
      </c>
      <c r="M28" s="10" t="str">
        <f t="shared" si="6"/>
        <v/>
      </c>
      <c r="N28" s="4">
        <f>IF(I28="ー",N26+0,IF(M28&lt;1,M28+N26,K28+N26))</f>
        <v>164708.75008379048</v>
      </c>
      <c r="O28" s="5">
        <f t="shared" si="0"/>
        <v>1.8164251207729623</v>
      </c>
      <c r="S28">
        <f t="shared" si="2"/>
        <v>-5.8300000000000125</v>
      </c>
    </row>
    <row r="29" spans="1:21" x14ac:dyDescent="0.15">
      <c r="A29" s="17">
        <v>15</v>
      </c>
      <c r="B29" s="38" t="s">
        <v>120</v>
      </c>
      <c r="C29" s="3">
        <f>IFERROR(ABS(N28*$L$2/(E29-F29)/10000),"")</f>
        <v>0.31920300403835206</v>
      </c>
      <c r="D29" s="51">
        <v>42045</v>
      </c>
      <c r="E29" s="17">
        <v>204.75</v>
      </c>
      <c r="F29" s="17">
        <v>207.33</v>
      </c>
      <c r="G29" s="51">
        <v>42056</v>
      </c>
      <c r="H29" s="17">
        <v>207.33</v>
      </c>
      <c r="I29" s="17" t="s">
        <v>123</v>
      </c>
      <c r="J29" s="8" t="str">
        <f t="shared" si="11"/>
        <v/>
      </c>
      <c r="K29" s="8" t="str">
        <f t="shared" si="13"/>
        <v/>
      </c>
      <c r="L29" s="9">
        <f t="shared" si="5"/>
        <v>-258.00000000000125</v>
      </c>
      <c r="M29" s="10">
        <f t="shared" si="6"/>
        <v>-8235.4375041895219</v>
      </c>
      <c r="N29" s="4">
        <f t="shared" si="1"/>
        <v>156473.31257960096</v>
      </c>
      <c r="O29" s="5"/>
      <c r="S29">
        <f t="shared" si="2"/>
        <v>0</v>
      </c>
    </row>
    <row r="30" spans="1:21" x14ac:dyDescent="0.15">
      <c r="A30" s="17">
        <v>16</v>
      </c>
      <c r="B30" s="38" t="s">
        <v>120</v>
      </c>
      <c r="C30" s="3">
        <f>IFERROR(ABS(N29*$L$2/(E30-F30)/10000),"")</f>
        <v>0.34771847239911324</v>
      </c>
      <c r="D30" s="51">
        <v>42080</v>
      </c>
      <c r="E30" s="17">
        <v>203.18</v>
      </c>
      <c r="F30" s="17">
        <v>205.43</v>
      </c>
      <c r="G30" s="51">
        <v>42087</v>
      </c>
      <c r="H30" s="17">
        <v>205.43</v>
      </c>
      <c r="I30" s="17" t="s">
        <v>123</v>
      </c>
      <c r="J30" s="8" t="str">
        <f t="shared" si="11"/>
        <v/>
      </c>
      <c r="K30" s="8" t="str">
        <f t="shared" si="13"/>
        <v/>
      </c>
      <c r="L30" s="9">
        <f t="shared" si="5"/>
        <v>-225</v>
      </c>
      <c r="M30" s="10">
        <f t="shared" si="6"/>
        <v>-7823.6656289800476</v>
      </c>
      <c r="N30" s="4">
        <f t="shared" si="1"/>
        <v>148649.6469506209</v>
      </c>
      <c r="O30" s="5"/>
      <c r="S30">
        <f t="shared" si="2"/>
        <v>0</v>
      </c>
    </row>
    <row r="31" spans="1:21" x14ac:dyDescent="0.15">
      <c r="A31" s="17">
        <v>17</v>
      </c>
      <c r="B31" s="38" t="s">
        <v>119</v>
      </c>
      <c r="C31" s="3">
        <f>IFERROR(ABS(N30*$L$2/(E31-F31)/10000),"")</f>
        <v>0.27837012537569289</v>
      </c>
      <c r="D31" s="51">
        <v>42090</v>
      </c>
      <c r="E31" s="17">
        <v>205.8</v>
      </c>
      <c r="F31" s="17">
        <v>203.13</v>
      </c>
      <c r="G31" s="51">
        <v>42115</v>
      </c>
      <c r="H31" s="17">
        <v>207.55</v>
      </c>
      <c r="I31" s="17" t="s">
        <v>122</v>
      </c>
      <c r="J31" s="8">
        <f t="shared" si="11"/>
        <v>175</v>
      </c>
      <c r="K31" s="8">
        <f t="shared" si="13"/>
        <v>4871.477194074625</v>
      </c>
      <c r="L31" s="9" t="str">
        <f t="shared" si="5"/>
        <v/>
      </c>
      <c r="M31" s="10" t="str">
        <f t="shared" si="6"/>
        <v/>
      </c>
      <c r="N31" s="4">
        <f t="shared" si="1"/>
        <v>153521.12414469552</v>
      </c>
      <c r="O31" s="5">
        <f t="shared" si="0"/>
        <v>0.65543071161048294</v>
      </c>
      <c r="R31" s="32"/>
      <c r="S31">
        <f t="shared" si="2"/>
        <v>-4.4200000000000159</v>
      </c>
      <c r="T31" s="32"/>
      <c r="U31" s="32"/>
    </row>
    <row r="32" spans="1:21" x14ac:dyDescent="0.15">
      <c r="A32" s="17">
        <v>18</v>
      </c>
      <c r="B32" s="38" t="s">
        <v>119</v>
      </c>
      <c r="C32" s="3">
        <f>IFERROR(ABS(N31*$L$2/(E32-F32)/10000),"")</f>
        <v>0.29075970481950064</v>
      </c>
      <c r="D32" s="51">
        <v>42135</v>
      </c>
      <c r="E32" s="17">
        <v>208.44</v>
      </c>
      <c r="F32" s="17">
        <v>205.8</v>
      </c>
      <c r="G32" s="51">
        <v>42184</v>
      </c>
      <c r="H32" s="17">
        <v>210.87</v>
      </c>
      <c r="I32" s="17" t="s">
        <v>122</v>
      </c>
      <c r="J32" s="8">
        <f t="shared" si="11"/>
        <v>243.00000000000068</v>
      </c>
      <c r="K32" s="8">
        <f t="shared" si="13"/>
        <v>7065.4608271138859</v>
      </c>
      <c r="L32" s="9" t="str">
        <f t="shared" si="5"/>
        <v/>
      </c>
      <c r="M32" s="10" t="str">
        <f t="shared" si="6"/>
        <v/>
      </c>
      <c r="N32" s="4">
        <f t="shared" si="1"/>
        <v>160586.58497180941</v>
      </c>
      <c r="O32" s="5">
        <f t="shared" si="0"/>
        <v>0.92045454545455274</v>
      </c>
      <c r="S32">
        <f t="shared" si="2"/>
        <v>-5.0699999999999932</v>
      </c>
    </row>
    <row r="33" spans="1:19" x14ac:dyDescent="0.15">
      <c r="A33" s="17">
        <v>19</v>
      </c>
      <c r="B33" s="38" t="s">
        <v>119</v>
      </c>
      <c r="C33" s="3">
        <f>IFERROR(ABS(N32*$L$2/(E33-F33)/10000),"")</f>
        <v>0.31364567377306846</v>
      </c>
      <c r="D33" s="51">
        <v>42154</v>
      </c>
      <c r="E33" s="17">
        <v>211.39</v>
      </c>
      <c r="F33" s="17">
        <v>208.83</v>
      </c>
      <c r="G33" s="51">
        <v>42164</v>
      </c>
      <c r="H33" s="17">
        <v>209.87</v>
      </c>
      <c r="I33" s="17" t="s">
        <v>123</v>
      </c>
      <c r="J33" s="8" t="str">
        <f t="shared" si="11"/>
        <v/>
      </c>
      <c r="K33" s="8" t="str">
        <f t="shared" si="13"/>
        <v/>
      </c>
      <c r="L33" s="9">
        <f t="shared" si="5"/>
        <v>-151.99999999999818</v>
      </c>
      <c r="M33" s="10">
        <f t="shared" si="6"/>
        <v>-4767.4142413505833</v>
      </c>
      <c r="N33" s="4">
        <f t="shared" si="1"/>
        <v>155819.17073045883</v>
      </c>
      <c r="O33" s="5"/>
      <c r="S33">
        <f t="shared" si="2"/>
        <v>-1.039999999999992</v>
      </c>
    </row>
    <row r="34" spans="1:19" x14ac:dyDescent="0.15">
      <c r="A34" s="17">
        <v>20</v>
      </c>
      <c r="B34" s="44" t="s">
        <v>119</v>
      </c>
      <c r="C34" s="3">
        <f>IFERROR(ABS(N33*$L$2/(E34-F34)/10000),"")</f>
        <v>0.82882537622584695</v>
      </c>
      <c r="D34" s="54">
        <v>42196</v>
      </c>
      <c r="E34" s="44">
        <v>210.95</v>
      </c>
      <c r="F34" s="44">
        <v>210.01</v>
      </c>
      <c r="G34" s="54">
        <v>42236</v>
      </c>
      <c r="H34" s="44">
        <v>217.98</v>
      </c>
      <c r="I34" s="44" t="s">
        <v>122</v>
      </c>
      <c r="J34" s="8">
        <f t="shared" si="11"/>
        <v>703.00000000000011</v>
      </c>
      <c r="K34" s="8">
        <f t="shared" si="13"/>
        <v>58266.423948677053</v>
      </c>
      <c r="L34" s="9" t="str">
        <f t="shared" si="5"/>
        <v/>
      </c>
      <c r="M34" s="10" t="str">
        <f t="shared" si="6"/>
        <v/>
      </c>
      <c r="N34" s="4">
        <f t="shared" si="1"/>
        <v>214085.59467913589</v>
      </c>
      <c r="O34" s="5">
        <f t="shared" si="0"/>
        <v>7.4787234042553381</v>
      </c>
      <c r="P34" t="s">
        <v>168</v>
      </c>
      <c r="Q34" s="11">
        <f>AVERAGE(O28:O37)</f>
        <v>2.814642019518649</v>
      </c>
      <c r="S34">
        <f t="shared" si="2"/>
        <v>-7.9699999999999989</v>
      </c>
    </row>
    <row r="35" spans="1:19" x14ac:dyDescent="0.15">
      <c r="A35" s="17">
        <v>21</v>
      </c>
      <c r="B35" s="44" t="s">
        <v>119</v>
      </c>
      <c r="C35" s="3">
        <f>IFERROR(ABS(N34*$L$2/(E35-F35)/10000),"")</f>
        <v>0.49787347599798915</v>
      </c>
      <c r="D35" s="54">
        <v>42237</v>
      </c>
      <c r="E35" s="44">
        <v>219.83</v>
      </c>
      <c r="F35" s="44">
        <v>217.68</v>
      </c>
      <c r="G35" s="54">
        <v>42251</v>
      </c>
      <c r="H35" s="44">
        <v>220.91</v>
      </c>
      <c r="I35" s="44" t="s">
        <v>122</v>
      </c>
      <c r="J35" s="8">
        <f t="shared" si="11"/>
        <v>107.99999999999841</v>
      </c>
      <c r="K35" s="8">
        <f t="shared" si="13"/>
        <v>5377.0335407782031</v>
      </c>
      <c r="L35" s="9" t="str">
        <f t="shared" si="5"/>
        <v/>
      </c>
      <c r="M35" s="10" t="str">
        <f t="shared" si="6"/>
        <v/>
      </c>
      <c r="N35" s="4">
        <f t="shared" si="1"/>
        <v>219462.6282199141</v>
      </c>
      <c r="O35" s="5">
        <f t="shared" si="0"/>
        <v>0.50232558139534011</v>
      </c>
      <c r="P35" t="s">
        <v>166</v>
      </c>
      <c r="Q35" s="77">
        <f>COUNTIF(K28:K37,"&gt;0")/COUNTIF(N28:N37,"&gt;0")</f>
        <v>0.6</v>
      </c>
      <c r="S35">
        <f t="shared" si="2"/>
        <v>-3.2299999999999898</v>
      </c>
    </row>
    <row r="36" spans="1:19" x14ac:dyDescent="0.15">
      <c r="A36" s="17">
        <v>22</v>
      </c>
      <c r="B36" s="44" t="s">
        <v>119</v>
      </c>
      <c r="C36" s="3">
        <f>IFERROR(ABS(N35*$L$2/(E36-F36)/10000),"")</f>
        <v>0.69450198803770991</v>
      </c>
      <c r="D36" s="54">
        <v>42283</v>
      </c>
      <c r="E36" s="44">
        <v>222.66</v>
      </c>
      <c r="F36" s="44">
        <v>221.08</v>
      </c>
      <c r="G36" s="54">
        <v>42322</v>
      </c>
      <c r="H36" s="44">
        <v>222.42</v>
      </c>
      <c r="I36" s="44" t="s">
        <v>123</v>
      </c>
      <c r="J36" s="8" t="str">
        <f t="shared" si="11"/>
        <v/>
      </c>
      <c r="K36" s="8" t="str">
        <f t="shared" si="13"/>
        <v/>
      </c>
      <c r="L36" s="9">
        <f t="shared" si="5"/>
        <v>-24.000000000000909</v>
      </c>
      <c r="M36" s="10">
        <f t="shared" si="6"/>
        <v>-1666.8047712905668</v>
      </c>
      <c r="N36" s="4">
        <f t="shared" si="1"/>
        <v>217795.82344862353</v>
      </c>
      <c r="O36" s="5"/>
      <c r="P36" t="s">
        <v>161</v>
      </c>
      <c r="Q36" s="77">
        <f>Q37/N26</f>
        <v>0.8401084129105133</v>
      </c>
      <c r="S36">
        <f t="shared" si="2"/>
        <v>-1.339999999999975</v>
      </c>
    </row>
    <row r="37" spans="1:19" s="6" customFormat="1" x14ac:dyDescent="0.15">
      <c r="A37" s="42">
        <v>23</v>
      </c>
      <c r="B37" s="44" t="s">
        <v>119</v>
      </c>
      <c r="C37" s="3">
        <f>IFERROR(ABS(N36*$L$2/(E37-F37)/10000),"")</f>
        <v>0.78911530235008798</v>
      </c>
      <c r="D37" s="54">
        <v>42332</v>
      </c>
      <c r="E37" s="44">
        <v>223.94</v>
      </c>
      <c r="F37" s="44">
        <v>222.56</v>
      </c>
      <c r="G37" s="54">
        <v>42008</v>
      </c>
      <c r="H37" s="44">
        <v>231.55</v>
      </c>
      <c r="I37" s="44" t="s">
        <v>122</v>
      </c>
      <c r="J37" s="8">
        <f t="shared" ref="J37:J43" si="14">IFERROR(IF(AND(B37="売",I37="勝"),ABS(E37-H37),IF(AND(B37="買",I37="勝"),ABS(E37-H37),""))*100,"")</f>
        <v>761.00000000000136</v>
      </c>
      <c r="K37" s="8">
        <f t="shared" ref="K37:K43" si="15">IFERROR(IF(J37&gt;=1,J37*C37*100,""),"")</f>
        <v>60051.674508841803</v>
      </c>
      <c r="L37" s="9" t="str">
        <f t="shared" ref="L37:L43" si="16">IFERROR(IF(AND(B37="売",I37="負"),(E37-H37),IF(AND(B37="買",I37="負"),(H37-E37),""))*100,"")</f>
        <v/>
      </c>
      <c r="M37" s="10" t="str">
        <f t="shared" ref="M37:M43" si="17">IFERROR(IF(L37&lt;=1,L37*C37*100,""),"")</f>
        <v/>
      </c>
      <c r="N37" s="4">
        <f t="shared" si="1"/>
        <v>277847.49795746536</v>
      </c>
      <c r="O37" s="5">
        <f t="shared" si="0"/>
        <v>5.5144927536232169</v>
      </c>
      <c r="P37" t="s">
        <v>160</v>
      </c>
      <c r="Q37" s="71">
        <f>N37-N26</f>
        <v>126852.31962555833</v>
      </c>
      <c r="S37">
        <f t="shared" si="2"/>
        <v>-8.9900000000000091</v>
      </c>
    </row>
    <row r="38" spans="1:19" s="6" customFormat="1" x14ac:dyDescent="0.15">
      <c r="A38" s="53"/>
      <c r="B38" s="44"/>
      <c r="C38" s="3"/>
      <c r="D38" s="59" t="s">
        <v>155</v>
      </c>
      <c r="E38" s="44"/>
      <c r="F38" s="44"/>
      <c r="G38" s="54"/>
      <c r="H38" s="44"/>
      <c r="I38" s="44"/>
      <c r="J38" s="8"/>
      <c r="K38" s="8"/>
      <c r="L38" s="9"/>
      <c r="M38" s="10"/>
      <c r="N38" s="4"/>
      <c r="O38" s="5"/>
      <c r="S38"/>
    </row>
    <row r="39" spans="1:19" x14ac:dyDescent="0.15">
      <c r="A39" s="42">
        <v>24</v>
      </c>
      <c r="B39" s="44" t="s">
        <v>119</v>
      </c>
      <c r="C39" s="3">
        <f>IFERROR(ABS(N37*$L$2/(E39-F39)/10000),"")</f>
        <v>0.3481798220018355</v>
      </c>
      <c r="D39" s="54">
        <v>42015</v>
      </c>
      <c r="E39" s="44">
        <v>234.84</v>
      </c>
      <c r="F39" s="44">
        <v>230.85</v>
      </c>
      <c r="G39" s="54">
        <v>42028</v>
      </c>
      <c r="H39" s="44">
        <v>237.43</v>
      </c>
      <c r="I39" s="44" t="s">
        <v>122</v>
      </c>
      <c r="J39" s="8">
        <f t="shared" si="14"/>
        <v>259.00000000000034</v>
      </c>
      <c r="K39" s="8">
        <f t="shared" si="15"/>
        <v>9017.8573898475515</v>
      </c>
      <c r="L39" s="9" t="str">
        <f t="shared" si="16"/>
        <v/>
      </c>
      <c r="M39" s="10" t="str">
        <f t="shared" si="17"/>
        <v/>
      </c>
      <c r="N39" s="4">
        <f>IF(I39="ー",N37+0,IF(M39&lt;1,M39+N37,K39+N37))</f>
        <v>286865.35534731293</v>
      </c>
      <c r="O39" s="5">
        <f t="shared" si="0"/>
        <v>0.64912280701754321</v>
      </c>
      <c r="S39">
        <f t="shared" si="2"/>
        <v>-6.5800000000000125</v>
      </c>
    </row>
    <row r="40" spans="1:19" x14ac:dyDescent="0.15">
      <c r="A40" s="42">
        <v>25</v>
      </c>
      <c r="B40" s="44" t="s">
        <v>120</v>
      </c>
      <c r="C40" s="3">
        <f>IFERROR(ABS(N39*$L$2/(E40-F40)/10000),"")</f>
        <v>0.36496864548004126</v>
      </c>
      <c r="D40" s="54">
        <v>42028</v>
      </c>
      <c r="E40" s="44">
        <v>237.47</v>
      </c>
      <c r="F40" s="44">
        <v>241.4</v>
      </c>
      <c r="G40" s="54">
        <v>42043</v>
      </c>
      <c r="H40" s="44">
        <v>238.79</v>
      </c>
      <c r="I40" s="44" t="s">
        <v>123</v>
      </c>
      <c r="J40" s="8" t="str">
        <f t="shared" si="14"/>
        <v/>
      </c>
      <c r="K40" s="8" t="str">
        <f t="shared" si="15"/>
        <v/>
      </c>
      <c r="L40" s="9">
        <f t="shared" si="16"/>
        <v>-131.99999999999932</v>
      </c>
      <c r="M40" s="10">
        <f t="shared" si="17"/>
        <v>-4817.5861203365203</v>
      </c>
      <c r="N40" s="4">
        <f t="shared" si="1"/>
        <v>282047.76922697644</v>
      </c>
      <c r="O40" s="5"/>
      <c r="S40">
        <f t="shared" si="2"/>
        <v>2.6100000000000136</v>
      </c>
    </row>
    <row r="41" spans="1:19" x14ac:dyDescent="0.15">
      <c r="A41" s="42">
        <v>26</v>
      </c>
      <c r="B41" s="44" t="s">
        <v>119</v>
      </c>
      <c r="C41" s="3">
        <f>IFERROR(ABS(N40*$L$2/(E41-F41)/10000),"")</f>
        <v>0.37307905982404282</v>
      </c>
      <c r="D41" s="54">
        <v>42082</v>
      </c>
      <c r="E41" s="44">
        <v>229.13</v>
      </c>
      <c r="F41" s="44">
        <v>225.35</v>
      </c>
      <c r="G41" s="54">
        <v>42162</v>
      </c>
      <c r="H41" s="44">
        <v>239.74</v>
      </c>
      <c r="I41" s="44" t="s">
        <v>122</v>
      </c>
      <c r="J41" s="8">
        <f t="shared" si="14"/>
        <v>1061.0000000000014</v>
      </c>
      <c r="K41" s="8">
        <f t="shared" si="15"/>
        <v>39583.688247330996</v>
      </c>
      <c r="L41" s="9" t="str">
        <f t="shared" si="16"/>
        <v/>
      </c>
      <c r="M41" s="10" t="str">
        <f t="shared" si="17"/>
        <v/>
      </c>
      <c r="N41" s="4">
        <f t="shared" si="1"/>
        <v>321631.45747430745</v>
      </c>
      <c r="O41" s="5">
        <f t="shared" si="0"/>
        <v>2.8068783068783096</v>
      </c>
      <c r="S41">
        <f t="shared" si="2"/>
        <v>-14.390000000000015</v>
      </c>
    </row>
    <row r="42" spans="1:19" x14ac:dyDescent="0.15">
      <c r="A42" s="42">
        <v>27</v>
      </c>
      <c r="B42" s="38" t="s">
        <v>119</v>
      </c>
      <c r="C42" s="3">
        <f>IFERROR(ABS(N41*$L$2/(E42-F42)/10000),"")</f>
        <v>1.1486837766939739</v>
      </c>
      <c r="D42" s="51">
        <v>42183</v>
      </c>
      <c r="E42" s="17">
        <v>246.76</v>
      </c>
      <c r="F42" s="17">
        <v>245.36</v>
      </c>
      <c r="G42" s="51">
        <v>42195</v>
      </c>
      <c r="H42" s="17">
        <v>246.04</v>
      </c>
      <c r="I42" s="17" t="s">
        <v>123</v>
      </c>
      <c r="J42" s="8" t="str">
        <f t="shared" si="14"/>
        <v/>
      </c>
      <c r="K42" s="8" t="str">
        <f t="shared" si="15"/>
        <v/>
      </c>
      <c r="L42" s="9">
        <f t="shared" si="16"/>
        <v>-71.999999999999886</v>
      </c>
      <c r="M42" s="10">
        <f t="shared" si="17"/>
        <v>-8270.5231921965988</v>
      </c>
      <c r="N42" s="4">
        <f t="shared" si="1"/>
        <v>313360.93428211083</v>
      </c>
      <c r="O42" s="5"/>
      <c r="S42">
        <f t="shared" si="2"/>
        <v>-0.6799999999999784</v>
      </c>
    </row>
    <row r="43" spans="1:19" x14ac:dyDescent="0.15">
      <c r="A43" s="42">
        <v>28</v>
      </c>
      <c r="B43" s="38" t="s">
        <v>119</v>
      </c>
      <c r="C43" s="3">
        <f>IFERROR(ABS(N42*$L$2/(E43-F43)/10000),"")</f>
        <v>0.39565774530569753</v>
      </c>
      <c r="D43" s="51">
        <v>42196</v>
      </c>
      <c r="E43" s="17">
        <v>248.95</v>
      </c>
      <c r="F43" s="17">
        <v>244.99</v>
      </c>
      <c r="G43" s="51">
        <v>42209</v>
      </c>
      <c r="H43" s="17">
        <v>247.59</v>
      </c>
      <c r="I43" s="17" t="s">
        <v>123</v>
      </c>
      <c r="J43" s="8" t="str">
        <f t="shared" si="14"/>
        <v/>
      </c>
      <c r="K43" s="8" t="str">
        <f t="shared" si="15"/>
        <v/>
      </c>
      <c r="L43" s="9">
        <f t="shared" si="16"/>
        <v>-135.99999999999852</v>
      </c>
      <c r="M43" s="10">
        <f t="shared" si="17"/>
        <v>-5380.9453361574278</v>
      </c>
      <c r="N43" s="4">
        <f t="shared" si="1"/>
        <v>307979.98894595337</v>
      </c>
      <c r="O43" s="5"/>
      <c r="S43">
        <f t="shared" si="2"/>
        <v>-2.5999999999999943</v>
      </c>
    </row>
    <row r="44" spans="1:19" s="12" customFormat="1" x14ac:dyDescent="0.15">
      <c r="A44" s="42">
        <v>29</v>
      </c>
      <c r="B44" s="38" t="s">
        <v>120</v>
      </c>
      <c r="C44" s="3">
        <f>IFERROR(ABS(N43*$L$2/(E44-F44)/10000),"")</f>
        <v>0.29275664348474545</v>
      </c>
      <c r="D44" s="55">
        <v>42225</v>
      </c>
      <c r="E44" s="7">
        <v>238.98</v>
      </c>
      <c r="F44" s="7">
        <v>244.24</v>
      </c>
      <c r="G44" s="55">
        <v>42236</v>
      </c>
      <c r="H44" s="7">
        <v>228.98</v>
      </c>
      <c r="I44" s="7" t="s">
        <v>122</v>
      </c>
      <c r="J44" s="8">
        <f t="shared" ref="J44:J84" si="18">IFERROR(IF(AND(B44="売",I44="勝"),ABS(E44-H44),IF(AND(B44="買",I44="勝"),ABS(E44-H44),""))*100,"")</f>
        <v>1000</v>
      </c>
      <c r="K44" s="8">
        <f t="shared" ref="K44:K84" si="19">IFERROR(IF(J44&gt;=1,J44*C44*100,""),"")</f>
        <v>29275.664348474544</v>
      </c>
      <c r="L44" s="9" t="str">
        <f t="shared" ref="L44:L83" si="20">IFERROR(IF(AND(B44="売",I44="負"),(E44-H44),IF(AND(B44="買",I44="負"),(H44-E44),""))*100,"")</f>
        <v/>
      </c>
      <c r="M44" s="10" t="str">
        <f t="shared" ref="M44:M84" si="21">IFERROR(IF(L44&lt;=1,L44*C44*100,""),"")</f>
        <v/>
      </c>
      <c r="N44" s="4">
        <f t="shared" si="1"/>
        <v>337255.6532944279</v>
      </c>
      <c r="O44" s="5">
        <f t="shared" si="0"/>
        <v>1.9011406844106393</v>
      </c>
      <c r="P44" t="s">
        <v>168</v>
      </c>
      <c r="Q44" s="11">
        <f>AVERAGE(O37:O45)</f>
        <v>2.2546639890376272</v>
      </c>
      <c r="S44">
        <f t="shared" si="2"/>
        <v>15.260000000000019</v>
      </c>
    </row>
    <row r="45" spans="1:19" s="12" customFormat="1" x14ac:dyDescent="0.15">
      <c r="A45" s="42">
        <v>30</v>
      </c>
      <c r="B45" s="38" t="s">
        <v>119</v>
      </c>
      <c r="C45" s="3">
        <f>IFERROR(ABS(N44*$L$2/(E45-F45)/10000),"")</f>
        <v>0.23683683517867113</v>
      </c>
      <c r="D45" s="55">
        <v>42245</v>
      </c>
      <c r="E45" s="7">
        <v>234.53</v>
      </c>
      <c r="F45" s="7">
        <v>227.41</v>
      </c>
      <c r="G45" s="55">
        <v>42293</v>
      </c>
      <c r="H45" s="7">
        <v>237.39</v>
      </c>
      <c r="I45" s="7" t="s">
        <v>122</v>
      </c>
      <c r="J45" s="8">
        <f t="shared" si="18"/>
        <v>285.99999999999852</v>
      </c>
      <c r="K45" s="8">
        <f t="shared" si="19"/>
        <v>6773.5334861099591</v>
      </c>
      <c r="L45" s="9" t="str">
        <f t="shared" si="20"/>
        <v/>
      </c>
      <c r="M45" s="10" t="str">
        <f t="shared" si="21"/>
        <v/>
      </c>
      <c r="N45" s="4">
        <f t="shared" si="1"/>
        <v>344029.18678053789</v>
      </c>
      <c r="O45" s="5">
        <f t="shared" si="0"/>
        <v>0.40168539325842462</v>
      </c>
      <c r="P45" t="s">
        <v>166</v>
      </c>
      <c r="Q45" s="77">
        <f>COUNTIF(K37:K45,"&gt;0")/COUNTIF(N37:N45,"&gt;0")</f>
        <v>0.625</v>
      </c>
      <c r="S45">
        <f t="shared" si="2"/>
        <v>-9.9799999999999898</v>
      </c>
    </row>
    <row r="46" spans="1:19" x14ac:dyDescent="0.15">
      <c r="A46" s="42">
        <v>32</v>
      </c>
      <c r="B46" s="38" t="s">
        <v>119</v>
      </c>
      <c r="C46" s="3">
        <f>IFERROR(ABS(N45*$L$2/(E46-F46)/10000),"")</f>
        <v>0.49007006663894415</v>
      </c>
      <c r="D46" s="51">
        <v>42300</v>
      </c>
      <c r="E46" s="7">
        <v>235.84</v>
      </c>
      <c r="F46" s="7">
        <v>232.33</v>
      </c>
      <c r="G46" s="51">
        <v>42317</v>
      </c>
      <c r="H46" s="7">
        <v>235.25</v>
      </c>
      <c r="I46" s="7" t="s">
        <v>123</v>
      </c>
      <c r="J46" s="8" t="str">
        <f t="shared" si="18"/>
        <v/>
      </c>
      <c r="K46" s="8" t="str">
        <f t="shared" si="19"/>
        <v/>
      </c>
      <c r="L46" s="9">
        <f t="shared" si="20"/>
        <v>-59.000000000000341</v>
      </c>
      <c r="M46" s="10">
        <f t="shared" si="21"/>
        <v>-2891.413393169787</v>
      </c>
      <c r="N46" s="4">
        <f t="shared" si="1"/>
        <v>341137.77338736807</v>
      </c>
      <c r="O46" s="5"/>
      <c r="P46" t="s">
        <v>161</v>
      </c>
      <c r="Q46" s="77">
        <f>Q47/N37</f>
        <v>0.71688355801288783</v>
      </c>
      <c r="S46">
        <f t="shared" si="2"/>
        <v>-2.9199999999999875</v>
      </c>
    </row>
    <row r="47" spans="1:19" x14ac:dyDescent="0.15">
      <c r="A47" s="42">
        <v>33</v>
      </c>
      <c r="B47" s="42" t="s">
        <v>120</v>
      </c>
      <c r="C47" s="3">
        <f>IFERROR(ABS(N46*$L$2/(E47-F47)/10000),"")</f>
        <v>0.5610818641239621</v>
      </c>
      <c r="D47" s="51">
        <v>42315</v>
      </c>
      <c r="E47" s="7">
        <v>236.62</v>
      </c>
      <c r="F47" s="7">
        <v>239.66</v>
      </c>
      <c r="G47" s="51">
        <v>42028</v>
      </c>
      <c r="H47" s="7">
        <v>212.4</v>
      </c>
      <c r="I47" s="7" t="s">
        <v>122</v>
      </c>
      <c r="J47" s="8">
        <f t="shared" si="18"/>
        <v>2422</v>
      </c>
      <c r="K47" s="8">
        <f t="shared" si="19"/>
        <v>135894.02749082362</v>
      </c>
      <c r="L47" s="9" t="str">
        <f t="shared" si="20"/>
        <v/>
      </c>
      <c r="M47" s="10" t="str">
        <f t="shared" si="21"/>
        <v/>
      </c>
      <c r="N47" s="4">
        <f t="shared" si="1"/>
        <v>477031.80087819172</v>
      </c>
      <c r="O47" s="5">
        <f t="shared" si="0"/>
        <v>7.9671052631579151</v>
      </c>
      <c r="P47" t="s">
        <v>160</v>
      </c>
      <c r="Q47" s="71">
        <f>N47-N37</f>
        <v>199184.30292072636</v>
      </c>
      <c r="S47">
        <f t="shared" si="2"/>
        <v>27.259999999999991</v>
      </c>
    </row>
    <row r="48" spans="1:19" x14ac:dyDescent="0.15">
      <c r="A48" s="53"/>
      <c r="B48" s="53"/>
      <c r="C48" s="3"/>
      <c r="D48" s="59" t="s">
        <v>156</v>
      </c>
      <c r="E48" s="7"/>
      <c r="F48" s="7"/>
      <c r="H48" s="7"/>
      <c r="I48" s="7"/>
      <c r="J48" s="8"/>
      <c r="K48" s="8"/>
      <c r="L48" s="9"/>
      <c r="M48" s="10"/>
      <c r="N48" s="4"/>
      <c r="O48" s="5"/>
      <c r="P48" s="12"/>
    </row>
    <row r="49" spans="1:19" x14ac:dyDescent="0.15">
      <c r="A49" s="42">
        <v>36</v>
      </c>
      <c r="B49" s="38" t="s">
        <v>119</v>
      </c>
      <c r="C49" s="3">
        <f>IFERROR(ABS(N47*$L$2/(E49-F49)/10000),"")</f>
        <v>0.49484626647115393</v>
      </c>
      <c r="D49" s="51">
        <v>42028</v>
      </c>
      <c r="E49" s="7">
        <v>211.92</v>
      </c>
      <c r="F49" s="7">
        <v>207.1</v>
      </c>
      <c r="G49" s="51">
        <v>42042</v>
      </c>
      <c r="H49" s="7">
        <v>207.1</v>
      </c>
      <c r="I49" s="7" t="s">
        <v>123</v>
      </c>
      <c r="J49" s="8" t="str">
        <f t="shared" si="18"/>
        <v/>
      </c>
      <c r="K49" s="8" t="str">
        <f t="shared" si="19"/>
        <v/>
      </c>
      <c r="L49" s="9">
        <f t="shared" si="20"/>
        <v>-481.99999999999932</v>
      </c>
      <c r="M49" s="10">
        <f t="shared" si="21"/>
        <v>-23851.590043909586</v>
      </c>
      <c r="N49" s="4">
        <f>IF(I49="ー",N47+0,IF(M49&lt;1,M49+N47,K49+N47))</f>
        <v>453180.2108342821</v>
      </c>
      <c r="O49" s="5"/>
      <c r="P49" s="12"/>
      <c r="S49">
        <f t="shared" si="2"/>
        <v>0</v>
      </c>
    </row>
    <row r="50" spans="1:19" x14ac:dyDescent="0.15">
      <c r="A50" s="42">
        <v>37</v>
      </c>
      <c r="B50" s="38" t="s">
        <v>119</v>
      </c>
      <c r="C50" s="3">
        <f>IFERROR(ABS(N49*$L$2/(E50-F50)/10000),"")</f>
        <v>0.69506167305871691</v>
      </c>
      <c r="D50" s="51">
        <v>42047</v>
      </c>
      <c r="E50" s="7">
        <v>210.97</v>
      </c>
      <c r="F50" s="7">
        <v>207.71</v>
      </c>
      <c r="G50" s="51">
        <v>42063</v>
      </c>
      <c r="H50" s="17">
        <v>207.71</v>
      </c>
      <c r="I50" s="7" t="s">
        <v>123</v>
      </c>
      <c r="J50" s="8" t="str">
        <f t="shared" si="18"/>
        <v/>
      </c>
      <c r="K50" s="8" t="str">
        <f t="shared" si="19"/>
        <v/>
      </c>
      <c r="L50" s="9">
        <f t="shared" si="20"/>
        <v>-325.99999999999909</v>
      </c>
      <c r="M50" s="10">
        <f t="shared" si="21"/>
        <v>-22659.010541714106</v>
      </c>
      <c r="N50" s="4">
        <f>IF(I50="ー",N49+0,IF(M50&lt;1,M50+N49,K50+N49))</f>
        <v>430521.20029256801</v>
      </c>
      <c r="O50" s="5"/>
      <c r="P50" s="12"/>
      <c r="S50">
        <f t="shared" si="2"/>
        <v>0</v>
      </c>
    </row>
    <row r="51" spans="1:19" x14ac:dyDescent="0.15">
      <c r="A51" s="42">
        <v>38</v>
      </c>
      <c r="B51" s="38" t="s">
        <v>120</v>
      </c>
      <c r="C51" s="3">
        <f t="shared" ref="C51:C54" si="22">IFERROR(ABS(N50*$L$2/(E51-F51)/10000),"")</f>
        <v>0.76333546151164733</v>
      </c>
      <c r="D51" s="51">
        <v>42062</v>
      </c>
      <c r="E51" s="7">
        <v>210.66</v>
      </c>
      <c r="F51" s="7">
        <v>213.48</v>
      </c>
      <c r="G51" s="51">
        <v>42112</v>
      </c>
      <c r="H51" s="7">
        <v>206.31</v>
      </c>
      <c r="I51" s="7" t="s">
        <v>122</v>
      </c>
      <c r="J51" s="8">
        <f t="shared" si="18"/>
        <v>434.99999999999943</v>
      </c>
      <c r="K51" s="8">
        <f t="shared" si="19"/>
        <v>33205.092575756615</v>
      </c>
      <c r="L51" s="9" t="str">
        <f t="shared" si="20"/>
        <v/>
      </c>
      <c r="M51" s="10" t="str">
        <f t="shared" si="21"/>
        <v/>
      </c>
      <c r="N51" s="4">
        <f t="shared" ref="N51:N54" si="23">IF(I51="ー",N50+0,IF(M51&lt;1,M51+N50,K51+N50))</f>
        <v>463726.29286832461</v>
      </c>
      <c r="O51" s="5">
        <f t="shared" si="0"/>
        <v>1.5425531914893633</v>
      </c>
      <c r="P51" t="s">
        <v>168</v>
      </c>
      <c r="Q51" s="11">
        <f>AVERAGE(O47:O52)</f>
        <v>4.2354599220408984</v>
      </c>
      <c r="S51">
        <f t="shared" si="2"/>
        <v>7.1699999999999875</v>
      </c>
    </row>
    <row r="52" spans="1:19" x14ac:dyDescent="0.15">
      <c r="A52" s="42">
        <v>39</v>
      </c>
      <c r="B52" s="38" t="s">
        <v>119</v>
      </c>
      <c r="C52" s="3">
        <f t="shared" si="22"/>
        <v>0.63350586457421454</v>
      </c>
      <c r="D52" s="51">
        <v>42087</v>
      </c>
      <c r="E52" s="7">
        <v>200.41</v>
      </c>
      <c r="F52" s="7">
        <v>196.75</v>
      </c>
      <c r="G52" s="51">
        <v>42210</v>
      </c>
      <c r="H52" s="7">
        <v>212.11</v>
      </c>
      <c r="I52" s="7" t="s">
        <v>122</v>
      </c>
      <c r="J52" s="8">
        <f t="shared" si="18"/>
        <v>1170.0000000000018</v>
      </c>
      <c r="K52" s="8">
        <f t="shared" si="19"/>
        <v>74120.186155183212</v>
      </c>
      <c r="L52" s="9" t="str">
        <f t="shared" si="20"/>
        <v/>
      </c>
      <c r="M52" s="10" t="str">
        <f t="shared" si="21"/>
        <v/>
      </c>
      <c r="N52" s="4">
        <f t="shared" si="23"/>
        <v>537846.4790235078</v>
      </c>
      <c r="O52" s="5">
        <f t="shared" si="0"/>
        <v>3.1967213114754176</v>
      </c>
      <c r="P52" t="s">
        <v>166</v>
      </c>
      <c r="Q52" s="77">
        <f>COUNTIF(K47:K52,"&gt;0")/COUNTIF(N47:N52,"&gt;0")</f>
        <v>0.6</v>
      </c>
      <c r="S52">
        <f t="shared" si="2"/>
        <v>-15.360000000000014</v>
      </c>
    </row>
    <row r="53" spans="1:19" x14ac:dyDescent="0.15">
      <c r="A53" s="42">
        <v>46</v>
      </c>
      <c r="B53" s="38" t="s">
        <v>120</v>
      </c>
      <c r="C53" s="3">
        <f t="shared" si="22"/>
        <v>0.87597146420766125</v>
      </c>
      <c r="D53" s="51">
        <v>42200</v>
      </c>
      <c r="E53" s="7">
        <v>208.89</v>
      </c>
      <c r="F53" s="7">
        <v>211.96</v>
      </c>
      <c r="G53" s="51">
        <v>42202</v>
      </c>
      <c r="H53" s="7">
        <v>211.96</v>
      </c>
      <c r="I53" s="7" t="s">
        <v>123</v>
      </c>
      <c r="J53" s="8" t="str">
        <f t="shared" si="18"/>
        <v/>
      </c>
      <c r="K53" s="8" t="str">
        <f t="shared" si="19"/>
        <v/>
      </c>
      <c r="L53" s="9">
        <f t="shared" si="20"/>
        <v>-307.00000000000216</v>
      </c>
      <c r="M53" s="10">
        <f t="shared" si="21"/>
        <v>-26892.323951175389</v>
      </c>
      <c r="N53" s="4">
        <f t="shared" si="23"/>
        <v>510954.15507233242</v>
      </c>
      <c r="O53" s="5"/>
      <c r="P53" t="s">
        <v>161</v>
      </c>
      <c r="Q53" s="77">
        <f>Q54/N47</f>
        <v>1.2105279060249063</v>
      </c>
      <c r="S53">
        <f t="shared" si="2"/>
        <v>0</v>
      </c>
    </row>
    <row r="54" spans="1:19" x14ac:dyDescent="0.15">
      <c r="A54" s="42">
        <v>47</v>
      </c>
      <c r="B54" s="38" t="s">
        <v>120</v>
      </c>
      <c r="C54" s="3">
        <f t="shared" si="22"/>
        <v>0.83762976241366427</v>
      </c>
      <c r="D54" s="51">
        <v>42209</v>
      </c>
      <c r="E54" s="18">
        <v>212.74</v>
      </c>
      <c r="F54" s="18">
        <v>215.79</v>
      </c>
      <c r="G54" s="51">
        <v>42332</v>
      </c>
      <c r="H54" s="18">
        <v>147.85</v>
      </c>
      <c r="I54" s="18" t="s">
        <v>122</v>
      </c>
      <c r="J54" s="8">
        <f t="shared" si="18"/>
        <v>6489.0000000000018</v>
      </c>
      <c r="K54" s="8">
        <f t="shared" si="19"/>
        <v>543537.95283022686</v>
      </c>
      <c r="L54" s="9" t="str">
        <f t="shared" si="20"/>
        <v/>
      </c>
      <c r="M54" s="10" t="str">
        <f t="shared" si="21"/>
        <v/>
      </c>
      <c r="N54" s="4">
        <f t="shared" si="23"/>
        <v>1054492.1079025592</v>
      </c>
      <c r="O54" s="5">
        <f t="shared" si="0"/>
        <v>21.275409836065698</v>
      </c>
      <c r="P54" t="s">
        <v>160</v>
      </c>
      <c r="Q54" s="71">
        <f>N54-N47</f>
        <v>577460.3070243675</v>
      </c>
      <c r="S54">
        <f t="shared" si="2"/>
        <v>67.94</v>
      </c>
    </row>
    <row r="55" spans="1:19" x14ac:dyDescent="0.15">
      <c r="A55" s="60"/>
      <c r="B55" s="60"/>
      <c r="C55" s="3"/>
      <c r="D55" s="59" t="s">
        <v>157</v>
      </c>
      <c r="E55" s="60"/>
      <c r="F55" s="60"/>
      <c r="H55" s="60"/>
      <c r="I55" s="60"/>
      <c r="J55" s="8"/>
      <c r="K55" s="8"/>
      <c r="L55" s="9"/>
      <c r="M55" s="10"/>
      <c r="N55" s="4"/>
      <c r="O55" s="5"/>
      <c r="P55" s="12"/>
    </row>
    <row r="56" spans="1:19" x14ac:dyDescent="0.15">
      <c r="A56" s="42">
        <v>50</v>
      </c>
      <c r="B56" s="38" t="s">
        <v>120</v>
      </c>
      <c r="C56" s="3">
        <f>IFERROR(ABS(N54*$L$2/(E56-F56)/10000),"")</f>
        <v>0.9709872080134051</v>
      </c>
      <c r="D56" s="51">
        <v>42023</v>
      </c>
      <c r="E56" s="18">
        <v>130.41999999999999</v>
      </c>
      <c r="F56" s="18">
        <v>135.85</v>
      </c>
      <c r="G56" s="51">
        <v>42041</v>
      </c>
      <c r="H56" s="18">
        <v>135.85</v>
      </c>
      <c r="I56" s="18" t="s">
        <v>123</v>
      </c>
      <c r="J56" s="8" t="str">
        <f t="shared" si="18"/>
        <v/>
      </c>
      <c r="K56" s="8" t="str">
        <f t="shared" si="19"/>
        <v/>
      </c>
      <c r="L56" s="9">
        <f t="shared" si="20"/>
        <v>-543.00000000000068</v>
      </c>
      <c r="M56" s="10">
        <f t="shared" si="21"/>
        <v>-52724.605395127961</v>
      </c>
      <c r="N56" s="4">
        <f>IF(I56="ー",N54+0,IF(M56&lt;1,M56+N54,K56+N54))</f>
        <v>1001767.5025074312</v>
      </c>
      <c r="O56" s="5"/>
      <c r="P56" s="12"/>
      <c r="S56">
        <f t="shared" si="2"/>
        <v>0</v>
      </c>
    </row>
    <row r="57" spans="1:19" x14ac:dyDescent="0.15">
      <c r="A57" s="42">
        <v>51</v>
      </c>
      <c r="B57" s="45" t="s">
        <v>120</v>
      </c>
      <c r="C57" s="3">
        <f t="shared" ref="C57:C63" si="24">IFERROR(ABS(N56*$L$2/(E57-F57)/10000),"")</f>
        <v>0.82112090369461654</v>
      </c>
      <c r="D57" s="56">
        <v>42045</v>
      </c>
      <c r="E57" s="45">
        <v>130.29</v>
      </c>
      <c r="F57" s="45">
        <v>136.38999999999999</v>
      </c>
      <c r="G57" s="56">
        <v>42058</v>
      </c>
      <c r="H57" s="45">
        <v>136.38999999999999</v>
      </c>
      <c r="I57" s="45" t="s">
        <v>123</v>
      </c>
      <c r="J57" s="8" t="str">
        <f t="shared" si="18"/>
        <v/>
      </c>
      <c r="K57" s="8" t="str">
        <f t="shared" si="19"/>
        <v/>
      </c>
      <c r="L57" s="9">
        <f t="shared" si="20"/>
        <v>-609.99999999999943</v>
      </c>
      <c r="M57" s="10">
        <f t="shared" si="21"/>
        <v>-50088.37512537156</v>
      </c>
      <c r="N57" s="4">
        <f t="shared" si="1"/>
        <v>951679.12738205958</v>
      </c>
      <c r="O57" s="5"/>
      <c r="P57" s="12"/>
      <c r="S57">
        <f t="shared" si="2"/>
        <v>0</v>
      </c>
    </row>
    <row r="58" spans="1:19" x14ac:dyDescent="0.15">
      <c r="A58" s="42">
        <v>52</v>
      </c>
      <c r="B58" s="45" t="s">
        <v>119</v>
      </c>
      <c r="C58" s="3">
        <f t="shared" si="24"/>
        <v>1.0081346688369277</v>
      </c>
      <c r="D58" s="56">
        <v>42048</v>
      </c>
      <c r="E58" s="45">
        <v>133.85</v>
      </c>
      <c r="F58" s="45">
        <v>129.13</v>
      </c>
      <c r="G58" s="56">
        <v>42178</v>
      </c>
      <c r="H58" s="45">
        <v>154.84</v>
      </c>
      <c r="I58" s="45" t="s">
        <v>122</v>
      </c>
      <c r="J58" s="8">
        <f t="shared" si="18"/>
        <v>2099.0000000000009</v>
      </c>
      <c r="K58" s="8">
        <f t="shared" si="19"/>
        <v>211607.46698887122</v>
      </c>
      <c r="L58" s="9" t="str">
        <f t="shared" si="20"/>
        <v/>
      </c>
      <c r="M58" s="10" t="str">
        <f t="shared" si="21"/>
        <v/>
      </c>
      <c r="N58" s="4">
        <f t="shared" si="1"/>
        <v>1163286.5943709309</v>
      </c>
      <c r="O58" s="5">
        <f t="shared" si="0"/>
        <v>4.4470338983050874</v>
      </c>
      <c r="P58" s="12"/>
      <c r="S58">
        <f t="shared" si="2"/>
        <v>-25.710000000000008</v>
      </c>
    </row>
    <row r="59" spans="1:19" x14ac:dyDescent="0.15">
      <c r="A59" s="42">
        <v>59</v>
      </c>
      <c r="B59" s="38" t="s">
        <v>120</v>
      </c>
      <c r="C59" s="3">
        <f t="shared" si="24"/>
        <v>2.3173039728504685</v>
      </c>
      <c r="D59" s="51">
        <v>42187</v>
      </c>
      <c r="E59" s="18">
        <v>156.80000000000001</v>
      </c>
      <c r="F59" s="18">
        <v>159.31</v>
      </c>
      <c r="G59" s="51">
        <v>42208</v>
      </c>
      <c r="H59" s="18">
        <v>156.88999999999999</v>
      </c>
      <c r="I59" s="18" t="s">
        <v>123</v>
      </c>
      <c r="J59" s="8" t="str">
        <f t="shared" si="18"/>
        <v/>
      </c>
      <c r="K59" s="8" t="str">
        <f t="shared" si="19"/>
        <v/>
      </c>
      <c r="L59" s="9">
        <f t="shared" si="20"/>
        <v>-8.9999999999974989</v>
      </c>
      <c r="M59" s="10">
        <f t="shared" si="21"/>
        <v>-2085.573575564842</v>
      </c>
      <c r="N59" s="4">
        <f t="shared" si="1"/>
        <v>1161201.020795366</v>
      </c>
      <c r="O59" s="5"/>
      <c r="P59" s="12"/>
      <c r="S59">
        <f t="shared" si="2"/>
        <v>2.4200000000000159</v>
      </c>
    </row>
    <row r="60" spans="1:19" x14ac:dyDescent="0.15">
      <c r="A60" s="42">
        <v>60</v>
      </c>
      <c r="B60" s="38" t="s">
        <v>120</v>
      </c>
      <c r="C60" s="3">
        <f t="shared" si="24"/>
        <v>1.5950563472463879</v>
      </c>
      <c r="D60" s="51">
        <v>42226</v>
      </c>
      <c r="E60" s="18">
        <v>159.34</v>
      </c>
      <c r="F60" s="18">
        <v>162.97999999999999</v>
      </c>
      <c r="G60" s="51">
        <v>42298</v>
      </c>
      <c r="H60" s="18">
        <v>149.51</v>
      </c>
      <c r="I60" s="18" t="s">
        <v>122</v>
      </c>
      <c r="J60" s="8">
        <f t="shared" si="18"/>
        <v>983.00000000000125</v>
      </c>
      <c r="K60" s="8">
        <f t="shared" si="19"/>
        <v>156794.03893432012</v>
      </c>
      <c r="L60" s="9" t="str">
        <f t="shared" si="20"/>
        <v/>
      </c>
      <c r="M60" s="10" t="str">
        <f t="shared" si="21"/>
        <v/>
      </c>
      <c r="N60" s="4">
        <f t="shared" si="1"/>
        <v>1317995.0597296862</v>
      </c>
      <c r="O60" s="5">
        <f t="shared" si="0"/>
        <v>2.700549450549464</v>
      </c>
      <c r="P60" t="s">
        <v>168</v>
      </c>
      <c r="Q60" s="11">
        <f>AVERAGE(O56:O63)</f>
        <v>3.5737916744272757</v>
      </c>
      <c r="S60">
        <f t="shared" si="2"/>
        <v>13.469999999999999</v>
      </c>
    </row>
    <row r="61" spans="1:19" x14ac:dyDescent="0.15">
      <c r="A61" s="42">
        <v>61</v>
      </c>
      <c r="B61" s="38" t="s">
        <v>120</v>
      </c>
      <c r="C61" s="3">
        <f t="shared" si="24"/>
        <v>1.6231466252828639</v>
      </c>
      <c r="D61" s="51">
        <v>42307</v>
      </c>
      <c r="E61" s="18">
        <v>147.63999999999999</v>
      </c>
      <c r="F61" s="18">
        <v>151.69999999999999</v>
      </c>
      <c r="G61" s="51">
        <v>42342</v>
      </c>
      <c r="H61" s="18">
        <v>148.37</v>
      </c>
      <c r="I61" s="18" t="s">
        <v>123</v>
      </c>
      <c r="J61" s="8" t="str">
        <f t="shared" si="18"/>
        <v/>
      </c>
      <c r="K61" s="8" t="str">
        <f t="shared" si="19"/>
        <v/>
      </c>
      <c r="L61" s="9">
        <f t="shared" si="20"/>
        <v>-73.000000000001819</v>
      </c>
      <c r="M61" s="10">
        <f t="shared" si="21"/>
        <v>-11848.970364565201</v>
      </c>
      <c r="N61" s="4">
        <f t="shared" si="1"/>
        <v>1306146.089365121</v>
      </c>
      <c r="O61" s="5"/>
      <c r="P61" t="s">
        <v>166</v>
      </c>
      <c r="Q61" s="77">
        <f>COUNTIF(K56:K63,"&gt;0")/COUNTIF(N56:N63,"&gt;0")</f>
        <v>0.25</v>
      </c>
      <c r="S61">
        <f t="shared" si="2"/>
        <v>3.3299999999999841</v>
      </c>
    </row>
    <row r="62" spans="1:19" x14ac:dyDescent="0.15">
      <c r="A62" s="42">
        <v>62</v>
      </c>
      <c r="B62" s="38" t="s">
        <v>119</v>
      </c>
      <c r="C62" s="3">
        <f t="shared" si="24"/>
        <v>3.8191406121786988</v>
      </c>
      <c r="D62" s="51">
        <v>42353</v>
      </c>
      <c r="E62" s="18">
        <v>146.02000000000001</v>
      </c>
      <c r="F62" s="18">
        <v>144.31</v>
      </c>
      <c r="G62" s="51">
        <v>42356</v>
      </c>
      <c r="H62" s="18">
        <v>144.31</v>
      </c>
      <c r="I62" s="18" t="s">
        <v>123</v>
      </c>
      <c r="J62" s="8" t="str">
        <f t="shared" si="18"/>
        <v/>
      </c>
      <c r="K62" s="8" t="str">
        <f t="shared" si="19"/>
        <v/>
      </c>
      <c r="L62" s="9">
        <f t="shared" si="20"/>
        <v>-171.0000000000008</v>
      </c>
      <c r="M62" s="10">
        <f t="shared" si="21"/>
        <v>-65307.30446825605</v>
      </c>
      <c r="N62" s="4">
        <f t="shared" si="1"/>
        <v>1240838.784896865</v>
      </c>
      <c r="O62" s="5"/>
      <c r="P62" t="s">
        <v>161</v>
      </c>
      <c r="Q62" s="77">
        <f>Q63/N54</f>
        <v>0.11788114564148916</v>
      </c>
      <c r="S62">
        <f t="shared" si="2"/>
        <v>0</v>
      </c>
    </row>
    <row r="63" spans="1:19" x14ac:dyDescent="0.15">
      <c r="A63" s="42">
        <v>63</v>
      </c>
      <c r="B63" s="38" t="s">
        <v>119</v>
      </c>
      <c r="C63" s="3">
        <f t="shared" si="24"/>
        <v>2.1393772153394184</v>
      </c>
      <c r="D63" s="51">
        <v>42368</v>
      </c>
      <c r="E63" s="33">
        <v>148.9</v>
      </c>
      <c r="F63" s="18">
        <v>146</v>
      </c>
      <c r="G63" s="51">
        <v>42010</v>
      </c>
      <c r="H63" s="18">
        <v>146</v>
      </c>
      <c r="I63" s="18" t="s">
        <v>123</v>
      </c>
      <c r="J63" s="8" t="str">
        <f t="shared" si="18"/>
        <v/>
      </c>
      <c r="K63" s="8" t="str">
        <f t="shared" si="19"/>
        <v/>
      </c>
      <c r="L63" s="9">
        <f t="shared" si="20"/>
        <v>-290.00000000000057</v>
      </c>
      <c r="M63" s="10">
        <f t="shared" si="21"/>
        <v>-62041.939244843248</v>
      </c>
      <c r="N63" s="4">
        <f t="shared" si="1"/>
        <v>1178796.8456520217</v>
      </c>
      <c r="O63" s="5"/>
      <c r="P63" t="s">
        <v>160</v>
      </c>
      <c r="Q63" s="71">
        <f>N63-N54</f>
        <v>124304.73774946248</v>
      </c>
      <c r="R63" s="79">
        <f>SUM(M61:M63)/N60</f>
        <v>-0.10561360837438442</v>
      </c>
      <c r="S63">
        <f t="shared" si="2"/>
        <v>0</v>
      </c>
    </row>
    <row r="64" spans="1:19" x14ac:dyDescent="0.15">
      <c r="A64" s="60"/>
      <c r="B64" s="60"/>
      <c r="C64" s="3"/>
      <c r="D64" s="59" t="s">
        <v>158</v>
      </c>
      <c r="E64" s="33"/>
      <c r="F64" s="60"/>
      <c r="H64" s="60"/>
      <c r="I64" s="60"/>
      <c r="J64" s="8"/>
      <c r="K64" s="8"/>
      <c r="L64" s="9"/>
      <c r="M64" s="10"/>
      <c r="N64" s="4"/>
      <c r="O64" s="5"/>
      <c r="P64" s="12"/>
    </row>
    <row r="65" spans="1:19" x14ac:dyDescent="0.15">
      <c r="A65" s="42">
        <v>64</v>
      </c>
      <c r="B65" s="38" t="s">
        <v>120</v>
      </c>
      <c r="C65" s="3">
        <f>IFERROR(ABS(N63*$L$2/(E65-F65)/10000),"")</f>
        <v>2.8751142576878816</v>
      </c>
      <c r="D65" s="51">
        <v>42025</v>
      </c>
      <c r="E65" s="18">
        <v>147.12</v>
      </c>
      <c r="F65" s="18">
        <v>149.16999999999999</v>
      </c>
      <c r="G65" s="51">
        <v>42095</v>
      </c>
      <c r="H65" s="18">
        <v>143.57</v>
      </c>
      <c r="I65" s="18" t="s">
        <v>122</v>
      </c>
      <c r="J65" s="8">
        <f t="shared" si="18"/>
        <v>355.00000000000114</v>
      </c>
      <c r="K65" s="8">
        <f t="shared" si="19"/>
        <v>102066.55614792013</v>
      </c>
      <c r="L65" s="9" t="str">
        <f t="shared" si="20"/>
        <v/>
      </c>
      <c r="M65" s="10" t="str">
        <f t="shared" si="21"/>
        <v/>
      </c>
      <c r="N65" s="4">
        <f>IF(I65="ー",N63+0,IF(M65&lt;1,M65+N63,K65+N63))</f>
        <v>1280863.4017999419</v>
      </c>
      <c r="O65" s="5">
        <f t="shared" si="0"/>
        <v>1.7317073170731907</v>
      </c>
      <c r="P65" s="12"/>
      <c r="S65">
        <f t="shared" si="2"/>
        <v>5.5999999999999943</v>
      </c>
    </row>
    <row r="66" spans="1:19" x14ac:dyDescent="0.15">
      <c r="A66" s="42">
        <v>65</v>
      </c>
      <c r="B66" s="38" t="s">
        <v>120</v>
      </c>
      <c r="C66" s="3">
        <f t="shared" ref="C60:C106" si="25">IFERROR(ABS(N65*$L$2/(E66-F66)/10000),"")</f>
        <v>2.760481469396435</v>
      </c>
      <c r="D66" s="51">
        <v>42128</v>
      </c>
      <c r="E66" s="18">
        <v>142.56</v>
      </c>
      <c r="F66" s="18">
        <v>144.88</v>
      </c>
      <c r="G66" s="51">
        <v>42157</v>
      </c>
      <c r="H66" s="18">
        <v>134.77000000000001</v>
      </c>
      <c r="I66" s="18" t="s">
        <v>122</v>
      </c>
      <c r="J66" s="8">
        <f t="shared" si="18"/>
        <v>778.9999999999992</v>
      </c>
      <c r="K66" s="8">
        <f t="shared" si="19"/>
        <v>215041.50646598203</v>
      </c>
      <c r="L66" s="9" t="str">
        <f t="shared" si="20"/>
        <v/>
      </c>
      <c r="M66" s="10" t="str">
        <f t="shared" si="21"/>
        <v/>
      </c>
      <c r="N66" s="4">
        <f t="shared" si="1"/>
        <v>1495904.9082659238</v>
      </c>
      <c r="O66" s="5">
        <f t="shared" ref="O66:O110" si="26">(H66-E66)/(E66-F66)</f>
        <v>3.3577586206896615</v>
      </c>
      <c r="P66" s="12"/>
      <c r="S66">
        <f t="shared" si="2"/>
        <v>10.109999999999985</v>
      </c>
    </row>
    <row r="67" spans="1:19" x14ac:dyDescent="0.15">
      <c r="A67" s="42">
        <v>66</v>
      </c>
      <c r="B67" s="38" t="s">
        <v>119</v>
      </c>
      <c r="C67" s="3">
        <f t="shared" si="25"/>
        <v>3.2949447318632541</v>
      </c>
      <c r="D67" s="51">
        <v>42205</v>
      </c>
      <c r="E67" s="18">
        <v>133.72</v>
      </c>
      <c r="F67" s="18">
        <v>131.44999999999999</v>
      </c>
      <c r="G67" s="51">
        <v>42208</v>
      </c>
      <c r="H67" s="18">
        <v>131.44999999999999</v>
      </c>
      <c r="I67" s="18" t="s">
        <v>123</v>
      </c>
      <c r="J67" s="8" t="str">
        <f t="shared" si="18"/>
        <v/>
      </c>
      <c r="K67" s="8" t="str">
        <f t="shared" si="19"/>
        <v/>
      </c>
      <c r="L67" s="9">
        <f t="shared" si="20"/>
        <v>-227.00000000000102</v>
      </c>
      <c r="M67" s="10">
        <f t="shared" si="21"/>
        <v>-74795.245413296216</v>
      </c>
      <c r="N67" s="4">
        <f t="shared" ref="N67:N106" si="27">IF(I67="ー",N66+0,IF(M67&lt;1,M67+N66,K67+N66))</f>
        <v>1421109.6628526277</v>
      </c>
      <c r="O67" s="5"/>
      <c r="P67" s="12"/>
      <c r="S67">
        <f t="shared" si="2"/>
        <v>0</v>
      </c>
    </row>
    <row r="68" spans="1:19" x14ac:dyDescent="0.15">
      <c r="A68" s="42">
        <v>67</v>
      </c>
      <c r="B68" s="38" t="s">
        <v>120</v>
      </c>
      <c r="C68" s="3">
        <f t="shared" si="25"/>
        <v>4.0836484564731137</v>
      </c>
      <c r="D68" s="51">
        <v>42221</v>
      </c>
      <c r="E68" s="18">
        <v>135.71</v>
      </c>
      <c r="F68" s="18">
        <v>137.44999999999999</v>
      </c>
      <c r="G68" s="51">
        <v>42262</v>
      </c>
      <c r="H68" s="18">
        <v>129.63</v>
      </c>
      <c r="I68" s="18" t="s">
        <v>122</v>
      </c>
      <c r="J68" s="8">
        <f t="shared" si="18"/>
        <v>608.00000000000125</v>
      </c>
      <c r="K68" s="8">
        <f t="shared" si="19"/>
        <v>248285.82615356581</v>
      </c>
      <c r="L68" s="9" t="str">
        <f t="shared" si="20"/>
        <v/>
      </c>
      <c r="M68" s="10" t="str">
        <f t="shared" si="21"/>
        <v/>
      </c>
      <c r="N68" s="4">
        <f t="shared" si="27"/>
        <v>1669395.4890061936</v>
      </c>
      <c r="O68" s="5">
        <f t="shared" si="26"/>
        <v>3.4942528735632643</v>
      </c>
      <c r="P68" s="12"/>
      <c r="S68">
        <f t="shared" si="2"/>
        <v>7.8199999999999932</v>
      </c>
    </row>
    <row r="69" spans="1:19" x14ac:dyDescent="0.15">
      <c r="A69" s="42">
        <v>71</v>
      </c>
      <c r="B69" s="38" t="s">
        <v>120</v>
      </c>
      <c r="C69" s="3">
        <f t="shared" si="25"/>
        <v>4.2370443883405962</v>
      </c>
      <c r="D69" s="51">
        <v>42275</v>
      </c>
      <c r="E69" s="18">
        <v>131.76</v>
      </c>
      <c r="F69" s="18">
        <v>133.72999999999999</v>
      </c>
      <c r="G69" s="51">
        <v>42304</v>
      </c>
      <c r="H69" s="18">
        <v>129.21</v>
      </c>
      <c r="I69" s="18" t="s">
        <v>122</v>
      </c>
      <c r="J69" s="8">
        <f t="shared" si="18"/>
        <v>254.99999999999829</v>
      </c>
      <c r="K69" s="8">
        <f t="shared" si="19"/>
        <v>108044.63190268447</v>
      </c>
      <c r="L69" s="9" t="str">
        <f t="shared" si="20"/>
        <v/>
      </c>
      <c r="M69" s="10" t="str">
        <f t="shared" si="21"/>
        <v/>
      </c>
      <c r="N69" s="4">
        <f t="shared" si="27"/>
        <v>1777440.120908878</v>
      </c>
      <c r="O69" s="5">
        <f t="shared" si="26"/>
        <v>1.2944162436548143</v>
      </c>
      <c r="P69" s="12"/>
      <c r="S69">
        <f t="shared" si="2"/>
        <v>4.5199999999999818</v>
      </c>
    </row>
    <row r="70" spans="1:19" x14ac:dyDescent="0.15">
      <c r="A70" s="42">
        <v>72</v>
      </c>
      <c r="B70" s="38" t="s">
        <v>119</v>
      </c>
      <c r="C70" s="3">
        <f t="shared" si="25"/>
        <v>6.7841225988888354</v>
      </c>
      <c r="D70" s="51">
        <v>42305</v>
      </c>
      <c r="E70" s="18">
        <v>129.35</v>
      </c>
      <c r="F70" s="18">
        <v>128.04</v>
      </c>
      <c r="G70" s="51">
        <v>42306</v>
      </c>
      <c r="H70" s="18">
        <v>128.04</v>
      </c>
      <c r="I70" s="18" t="s">
        <v>123</v>
      </c>
      <c r="J70" s="8" t="str">
        <f t="shared" si="18"/>
        <v/>
      </c>
      <c r="K70" s="8" t="str">
        <f t="shared" si="19"/>
        <v/>
      </c>
      <c r="L70" s="9">
        <f t="shared" si="20"/>
        <v>-131.00000000000023</v>
      </c>
      <c r="M70" s="10">
        <f t="shared" si="21"/>
        <v>-88872.006045443908</v>
      </c>
      <c r="N70" s="4">
        <f t="shared" si="27"/>
        <v>1688568.1148634341</v>
      </c>
      <c r="O70" s="5"/>
      <c r="P70" t="s">
        <v>168</v>
      </c>
      <c r="Q70" s="11">
        <f>AVERAGE(O65:O73)</f>
        <v>2.2584841538533262</v>
      </c>
      <c r="S70">
        <f t="shared" si="2"/>
        <v>0</v>
      </c>
    </row>
    <row r="71" spans="1:19" x14ac:dyDescent="0.15">
      <c r="A71" s="42">
        <v>73</v>
      </c>
      <c r="B71" s="38" t="s">
        <v>119</v>
      </c>
      <c r="C71" s="3">
        <f t="shared" si="25"/>
        <v>3.0926155949879863</v>
      </c>
      <c r="D71" s="51">
        <v>42318</v>
      </c>
      <c r="E71" s="43">
        <v>133.06</v>
      </c>
      <c r="F71" s="43">
        <v>130.33000000000001</v>
      </c>
      <c r="G71" s="51">
        <v>42331</v>
      </c>
      <c r="H71" s="43">
        <v>132.13999999999999</v>
      </c>
      <c r="I71" s="18" t="s">
        <v>123</v>
      </c>
      <c r="J71" s="8" t="str">
        <f t="shared" si="18"/>
        <v/>
      </c>
      <c r="K71" s="8" t="str">
        <f t="shared" si="19"/>
        <v/>
      </c>
      <c r="L71" s="9">
        <f t="shared" si="20"/>
        <v>-92.000000000001592</v>
      </c>
      <c r="M71" s="10">
        <f t="shared" si="21"/>
        <v>-28452.063473889968</v>
      </c>
      <c r="N71" s="4">
        <f t="shared" si="27"/>
        <v>1660116.051389544</v>
      </c>
      <c r="O71" s="5"/>
      <c r="P71" t="s">
        <v>166</v>
      </c>
      <c r="Q71" s="77">
        <f>COUNTIF(K65:K73,"&gt;0")/COUNTIF(N65:N73,"&gt;0")</f>
        <v>0.55555555555555558</v>
      </c>
      <c r="S71">
        <f t="shared" si="2"/>
        <v>-1.8099999999999739</v>
      </c>
    </row>
    <row r="72" spans="1:19" x14ac:dyDescent="0.15">
      <c r="A72" s="42">
        <v>74</v>
      </c>
      <c r="B72" s="38" t="s">
        <v>120</v>
      </c>
      <c r="C72" s="3">
        <f t="shared" si="25"/>
        <v>7.2178958756066782</v>
      </c>
      <c r="D72" s="56">
        <v>42334</v>
      </c>
      <c r="E72" s="31">
        <v>130.93</v>
      </c>
      <c r="F72" s="31">
        <v>132.08000000000001</v>
      </c>
      <c r="G72" s="51">
        <v>42346</v>
      </c>
      <c r="H72" s="31">
        <v>132.08000000000001</v>
      </c>
      <c r="I72" s="31" t="s">
        <v>123</v>
      </c>
      <c r="J72" s="8" t="str">
        <f t="shared" si="18"/>
        <v/>
      </c>
      <c r="K72" s="8" t="str">
        <f t="shared" si="19"/>
        <v/>
      </c>
      <c r="L72" s="9">
        <f t="shared" si="20"/>
        <v>-115.00000000000057</v>
      </c>
      <c r="M72" s="10">
        <f t="shared" si="21"/>
        <v>-83005.802569477208</v>
      </c>
      <c r="N72" s="4">
        <f t="shared" si="27"/>
        <v>1577110.2488200669</v>
      </c>
      <c r="O72" s="5"/>
      <c r="P72" t="s">
        <v>161</v>
      </c>
      <c r="Q72" s="77">
        <f>Q73/N63</f>
        <v>0.43250677993121955</v>
      </c>
      <c r="R72" s="79">
        <f>SUM(M70:M72)/N69</f>
        <v>-0.11270695970696003</v>
      </c>
      <c r="S72">
        <f t="shared" si="2"/>
        <v>0</v>
      </c>
    </row>
    <row r="73" spans="1:19" x14ac:dyDescent="0.15">
      <c r="A73" s="42">
        <v>75</v>
      </c>
      <c r="B73" s="38" t="s">
        <v>120</v>
      </c>
      <c r="C73" s="3">
        <f t="shared" si="25"/>
        <v>5.6325366029287878</v>
      </c>
      <c r="D73" s="51">
        <v>42355</v>
      </c>
      <c r="E73" s="30">
        <v>129.97999999999999</v>
      </c>
      <c r="F73" s="30">
        <v>131.38</v>
      </c>
      <c r="G73" s="51">
        <v>42008</v>
      </c>
      <c r="H73" s="30">
        <v>128</v>
      </c>
      <c r="I73" s="30" t="s">
        <v>122</v>
      </c>
      <c r="J73" s="8">
        <f t="shared" si="18"/>
        <v>197.99999999999898</v>
      </c>
      <c r="K73" s="8">
        <f t="shared" si="19"/>
        <v>111524.22473798943</v>
      </c>
      <c r="L73" s="9" t="str">
        <f t="shared" si="20"/>
        <v/>
      </c>
      <c r="M73" s="10" t="str">
        <f t="shared" si="21"/>
        <v/>
      </c>
      <c r="N73" s="4">
        <f t="shared" si="27"/>
        <v>1688634.4735580564</v>
      </c>
      <c r="O73" s="5">
        <f t="shared" si="26"/>
        <v>1.4142857142857013</v>
      </c>
      <c r="P73" t="s">
        <v>160</v>
      </c>
      <c r="Q73" s="71">
        <f>N73-N63</f>
        <v>509837.6279060347</v>
      </c>
      <c r="S73">
        <f t="shared" si="2"/>
        <v>3.3799999999999955</v>
      </c>
    </row>
    <row r="74" spans="1:19" x14ac:dyDescent="0.15">
      <c r="A74" s="60"/>
      <c r="B74" s="60"/>
      <c r="C74" s="3"/>
      <c r="D74" s="59" t="s">
        <v>159</v>
      </c>
      <c r="E74" s="60"/>
      <c r="F74" s="60"/>
      <c r="H74" s="60"/>
      <c r="I74" s="60"/>
      <c r="J74" s="8"/>
      <c r="K74" s="8"/>
      <c r="L74" s="9"/>
      <c r="M74" s="10"/>
      <c r="N74" s="4"/>
      <c r="O74" s="5"/>
      <c r="P74" s="12"/>
    </row>
    <row r="75" spans="1:19" x14ac:dyDescent="0.15">
      <c r="A75" s="42">
        <v>76</v>
      </c>
      <c r="B75" s="38" t="s">
        <v>119</v>
      </c>
      <c r="C75" s="3">
        <f>IFERROR(ABS(N73*$L$2/(E75-F75)/10000),"")</f>
        <v>5.8228774950277131</v>
      </c>
      <c r="D75" s="51">
        <v>42024</v>
      </c>
      <c r="E75" s="30">
        <v>132.11000000000001</v>
      </c>
      <c r="F75" s="30">
        <v>130.66</v>
      </c>
      <c r="G75" s="51">
        <v>42029</v>
      </c>
      <c r="H75" s="30">
        <v>130.66</v>
      </c>
      <c r="I75" s="30" t="s">
        <v>123</v>
      </c>
      <c r="J75" s="8" t="str">
        <f t="shared" si="18"/>
        <v/>
      </c>
      <c r="K75" s="8" t="str">
        <f t="shared" si="19"/>
        <v/>
      </c>
      <c r="L75" s="9">
        <f t="shared" si="20"/>
        <v>-145.00000000000171</v>
      </c>
      <c r="M75" s="10">
        <f>IFERROR(IF(L75&lt;=1,L75*C75*100,""),"")</f>
        <v>-84431.723677902832</v>
      </c>
      <c r="N75" s="4">
        <f>IF(I75="ー",N73+0,IF(M75&lt;1,M75+N73,K75+N73))</f>
        <v>1604202.7498801537</v>
      </c>
      <c r="O75" s="5"/>
      <c r="P75" s="12"/>
      <c r="S75">
        <f t="shared" si="2"/>
        <v>0</v>
      </c>
    </row>
    <row r="76" spans="1:19" x14ac:dyDescent="0.15">
      <c r="A76" s="42">
        <v>77</v>
      </c>
      <c r="B76" s="38" t="s">
        <v>119</v>
      </c>
      <c r="C76" s="3">
        <f t="shared" si="25"/>
        <v>4.3592466029351931</v>
      </c>
      <c r="D76" s="51">
        <v>42039</v>
      </c>
      <c r="E76" s="31">
        <v>132.72</v>
      </c>
      <c r="F76" s="31">
        <v>130.88</v>
      </c>
      <c r="G76" s="51">
        <v>42059</v>
      </c>
      <c r="H76" s="31">
        <v>133.16</v>
      </c>
      <c r="I76" s="31" t="s">
        <v>122</v>
      </c>
      <c r="J76" s="8">
        <f t="shared" si="18"/>
        <v>43.999999999999773</v>
      </c>
      <c r="K76" s="8">
        <f t="shared" si="19"/>
        <v>19180.685052914752</v>
      </c>
      <c r="L76" s="9" t="str">
        <f t="shared" si="20"/>
        <v/>
      </c>
      <c r="M76" s="10" t="str">
        <f t="shared" si="21"/>
        <v/>
      </c>
      <c r="N76" s="4">
        <f t="shared" si="27"/>
        <v>1623383.4349330685</v>
      </c>
      <c r="O76" s="5">
        <f t="shared" si="26"/>
        <v>0.23913043478260701</v>
      </c>
      <c r="P76" s="12"/>
      <c r="S76">
        <f t="shared" si="2"/>
        <v>-2.2800000000000011</v>
      </c>
    </row>
    <row r="77" spans="1:19" x14ac:dyDescent="0.15">
      <c r="A77" s="42">
        <v>78</v>
      </c>
      <c r="B77" s="38" t="s">
        <v>120</v>
      </c>
      <c r="C77" s="3">
        <f t="shared" si="25"/>
        <v>3.4248595673693365</v>
      </c>
      <c r="D77" s="51">
        <v>42059</v>
      </c>
      <c r="E77" s="31">
        <v>131.47999999999999</v>
      </c>
      <c r="F77" s="31">
        <v>133.85</v>
      </c>
      <c r="G77" s="51">
        <v>42064</v>
      </c>
      <c r="H77" s="31">
        <v>133.85</v>
      </c>
      <c r="I77" s="31" t="s">
        <v>123</v>
      </c>
      <c r="J77" s="8" t="str">
        <f t="shared" si="18"/>
        <v/>
      </c>
      <c r="K77" s="8" t="str">
        <f t="shared" si="19"/>
        <v/>
      </c>
      <c r="L77" s="9">
        <f t="shared" si="20"/>
        <v>-237.00000000000045</v>
      </c>
      <c r="M77" s="10">
        <f t="shared" si="21"/>
        <v>-81169.171746653432</v>
      </c>
      <c r="N77" s="4">
        <f t="shared" si="27"/>
        <v>1542214.263186415</v>
      </c>
      <c r="O77" s="5"/>
      <c r="P77" s="12"/>
      <c r="S77">
        <f t="shared" si="2"/>
        <v>0</v>
      </c>
    </row>
    <row r="78" spans="1:19" x14ac:dyDescent="0.15">
      <c r="A78" s="42">
        <v>79</v>
      </c>
      <c r="B78" s="38" t="s">
        <v>120</v>
      </c>
      <c r="C78" s="3">
        <f t="shared" si="25"/>
        <v>5.3549106360638437</v>
      </c>
      <c r="D78" s="51">
        <v>42073</v>
      </c>
      <c r="E78" s="31">
        <v>132.88999999999999</v>
      </c>
      <c r="F78" s="31">
        <v>134.33000000000001</v>
      </c>
      <c r="G78" s="51">
        <v>42081</v>
      </c>
      <c r="H78" s="31">
        <v>130.51</v>
      </c>
      <c r="I78" s="31" t="s">
        <v>122</v>
      </c>
      <c r="J78" s="8">
        <f t="shared" si="18"/>
        <v>237.99999999999955</v>
      </c>
      <c r="K78" s="8">
        <f t="shared" si="19"/>
        <v>127446.87313831924</v>
      </c>
      <c r="L78" s="9" t="str">
        <f t="shared" si="20"/>
        <v/>
      </c>
      <c r="M78" s="10" t="str">
        <f t="shared" si="21"/>
        <v/>
      </c>
      <c r="N78" s="4">
        <f t="shared" si="27"/>
        <v>1669661.1363247342</v>
      </c>
      <c r="O78" s="5">
        <f t="shared" si="26"/>
        <v>1.6527777777777446</v>
      </c>
      <c r="P78" s="12"/>
      <c r="S78">
        <f t="shared" si="2"/>
        <v>3.8200000000000216</v>
      </c>
    </row>
    <row r="79" spans="1:19" x14ac:dyDescent="0.15">
      <c r="A79" s="42">
        <v>80</v>
      </c>
      <c r="B79" s="38" t="s">
        <v>119</v>
      </c>
      <c r="C79" s="3">
        <f t="shared" si="25"/>
        <v>1.5633531238995628</v>
      </c>
      <c r="D79" s="51">
        <v>42081</v>
      </c>
      <c r="E79" s="31">
        <v>132.49</v>
      </c>
      <c r="F79" s="31">
        <v>127.15</v>
      </c>
      <c r="G79" s="51">
        <v>42106</v>
      </c>
      <c r="H79" s="31">
        <v>139.62</v>
      </c>
      <c r="I79" s="31" t="s">
        <v>122</v>
      </c>
      <c r="J79" s="8">
        <f t="shared" si="18"/>
        <v>712.99999999999955</v>
      </c>
      <c r="K79" s="8">
        <f t="shared" si="19"/>
        <v>111467.07773403876</v>
      </c>
      <c r="L79" s="9" t="str">
        <f t="shared" si="20"/>
        <v/>
      </c>
      <c r="M79" s="10" t="str">
        <f t="shared" si="21"/>
        <v/>
      </c>
      <c r="N79" s="4">
        <f t="shared" si="27"/>
        <v>1781128.2140587729</v>
      </c>
      <c r="O79" s="5">
        <f t="shared" si="26"/>
        <v>1.3352059925093616</v>
      </c>
      <c r="P79" s="12"/>
      <c r="S79">
        <f t="shared" ref="S79:S128" si="28">F79-H79</f>
        <v>-12.469999999999999</v>
      </c>
    </row>
    <row r="80" spans="1:19" x14ac:dyDescent="0.15">
      <c r="A80" s="42">
        <v>82</v>
      </c>
      <c r="B80" s="38" t="s">
        <v>120</v>
      </c>
      <c r="C80" s="3">
        <f t="shared" si="25"/>
        <v>5.2696101007656075</v>
      </c>
      <c r="D80" s="51">
        <v>42109</v>
      </c>
      <c r="E80" s="31">
        <v>135.36000000000001</v>
      </c>
      <c r="F80" s="31">
        <v>137.05000000000001</v>
      </c>
      <c r="G80" s="51">
        <v>42122</v>
      </c>
      <c r="H80" s="31">
        <v>137.05000000000001</v>
      </c>
      <c r="I80" s="31" t="s">
        <v>123</v>
      </c>
      <c r="J80" s="8" t="str">
        <f t="shared" si="18"/>
        <v/>
      </c>
      <c r="K80" s="8" t="str">
        <f t="shared" si="19"/>
        <v/>
      </c>
      <c r="L80" s="9">
        <f t="shared" si="20"/>
        <v>-168.99999999999977</v>
      </c>
      <c r="M80" s="10">
        <f t="shared" si="21"/>
        <v>-89056.410702938651</v>
      </c>
      <c r="N80" s="4">
        <f t="shared" si="27"/>
        <v>1692071.8033558342</v>
      </c>
      <c r="O80" s="5"/>
      <c r="P80" s="12"/>
      <c r="S80">
        <f t="shared" si="28"/>
        <v>0</v>
      </c>
    </row>
    <row r="81" spans="1:19" x14ac:dyDescent="0.15">
      <c r="A81" s="42">
        <v>83</v>
      </c>
      <c r="B81" s="38" t="s">
        <v>120</v>
      </c>
      <c r="C81" s="3">
        <f t="shared" si="25"/>
        <v>4.3610098024634958</v>
      </c>
      <c r="D81" s="51">
        <v>42136</v>
      </c>
      <c r="E81" s="31">
        <v>131.22</v>
      </c>
      <c r="F81" s="31">
        <v>133.16</v>
      </c>
      <c r="G81" s="51">
        <v>42141</v>
      </c>
      <c r="H81" s="31">
        <v>133.16</v>
      </c>
      <c r="I81" s="31" t="s">
        <v>123</v>
      </c>
      <c r="J81" s="8" t="str">
        <f t="shared" si="18"/>
        <v/>
      </c>
      <c r="K81" s="8" t="str">
        <f t="shared" si="19"/>
        <v/>
      </c>
      <c r="L81" s="9">
        <f t="shared" si="20"/>
        <v>-193.99999999999977</v>
      </c>
      <c r="M81" s="10">
        <f t="shared" si="21"/>
        <v>-84603.590167791714</v>
      </c>
      <c r="N81" s="4">
        <f t="shared" si="27"/>
        <v>1607468.2131880424</v>
      </c>
      <c r="O81" s="5"/>
      <c r="P81" s="12"/>
      <c r="S81">
        <f t="shared" si="28"/>
        <v>0</v>
      </c>
    </row>
    <row r="82" spans="1:19" x14ac:dyDescent="0.15">
      <c r="A82" s="42">
        <v>84</v>
      </c>
      <c r="B82" s="38" t="s">
        <v>119</v>
      </c>
      <c r="C82" s="3">
        <f t="shared" si="25"/>
        <v>7.1126912087966776</v>
      </c>
      <c r="D82" s="51">
        <v>42143</v>
      </c>
      <c r="E82" s="31">
        <v>132.96</v>
      </c>
      <c r="F82" s="31">
        <v>131.83000000000001</v>
      </c>
      <c r="G82" s="51">
        <v>42147</v>
      </c>
      <c r="H82" s="31">
        <v>131.83000000000001</v>
      </c>
      <c r="I82" s="31" t="s">
        <v>123</v>
      </c>
      <c r="J82" s="8" t="str">
        <f t="shared" si="18"/>
        <v/>
      </c>
      <c r="K82" s="8" t="str">
        <f t="shared" si="19"/>
        <v/>
      </c>
      <c r="L82" s="9">
        <f t="shared" si="20"/>
        <v>-112.99999999999955</v>
      </c>
      <c r="M82" s="10">
        <f t="shared" si="21"/>
        <v>-80373.410659402129</v>
      </c>
      <c r="N82" s="4">
        <f t="shared" si="27"/>
        <v>1527094.8025286403</v>
      </c>
      <c r="O82" s="5"/>
      <c r="P82" s="12"/>
      <c r="R82" s="79">
        <f>SUM(M80:M82)/N79</f>
        <v>-0.14262500000000003</v>
      </c>
      <c r="S82">
        <f t="shared" si="28"/>
        <v>0</v>
      </c>
    </row>
    <row r="83" spans="1:19" x14ac:dyDescent="0.15">
      <c r="A83" s="42">
        <v>85</v>
      </c>
      <c r="B83" s="38" t="s">
        <v>120</v>
      </c>
      <c r="C83" s="3">
        <f t="shared" si="25"/>
        <v>3.3197713098448949</v>
      </c>
      <c r="D83" s="51">
        <v>42156</v>
      </c>
      <c r="E83" s="31">
        <v>132.05000000000001</v>
      </c>
      <c r="F83" s="31">
        <v>134.35</v>
      </c>
      <c r="G83" s="51">
        <v>42220</v>
      </c>
      <c r="H83" s="31">
        <v>128.47999999999999</v>
      </c>
      <c r="I83" s="31" t="s">
        <v>122</v>
      </c>
      <c r="J83" s="8">
        <f t="shared" si="18"/>
        <v>357.00000000000216</v>
      </c>
      <c r="K83" s="8">
        <f t="shared" si="19"/>
        <v>118515.83576146347</v>
      </c>
      <c r="L83" s="9" t="str">
        <f t="shared" si="20"/>
        <v/>
      </c>
      <c r="M83" s="10" t="str">
        <f t="shared" si="21"/>
        <v/>
      </c>
      <c r="N83" s="4">
        <f t="shared" si="27"/>
        <v>1645610.6382901038</v>
      </c>
      <c r="O83" s="5">
        <f t="shared" si="26"/>
        <v>1.5521739130434991</v>
      </c>
      <c r="P83" t="s">
        <v>168</v>
      </c>
      <c r="Q83" s="11">
        <f>AVERAGE(O75:O86)</f>
        <v>1.4541019150670775</v>
      </c>
      <c r="S83">
        <f t="shared" si="28"/>
        <v>5.8700000000000045</v>
      </c>
    </row>
    <row r="84" spans="1:19" x14ac:dyDescent="0.15">
      <c r="A84" s="42">
        <v>91</v>
      </c>
      <c r="B84" s="38" t="s">
        <v>120</v>
      </c>
      <c r="C84" s="3">
        <f t="shared" si="25"/>
        <v>7.0931493029746067</v>
      </c>
      <c r="D84" s="51">
        <v>42240</v>
      </c>
      <c r="E84" s="31">
        <v>125.58</v>
      </c>
      <c r="F84" s="31">
        <v>126.74</v>
      </c>
      <c r="G84" s="51">
        <v>42276</v>
      </c>
      <c r="H84" s="31">
        <v>120.55</v>
      </c>
      <c r="I84" s="31" t="s">
        <v>122</v>
      </c>
      <c r="J84" s="8">
        <f t="shared" si="18"/>
        <v>503.00000000000011</v>
      </c>
      <c r="K84" s="8">
        <f t="shared" si="19"/>
        <v>356785.4099396228</v>
      </c>
      <c r="L84" s="9" t="str">
        <f>IFERROR(IF(AND(B84="売",I84="負"),(E84-H84),IF(AND(B84="買",I84="負"),(H84-E84),""))*100,"")</f>
        <v/>
      </c>
      <c r="M84" s="10" t="str">
        <f t="shared" si="21"/>
        <v/>
      </c>
      <c r="N84" s="4">
        <f t="shared" si="27"/>
        <v>2002396.0482297265</v>
      </c>
      <c r="O84" s="5">
        <f t="shared" si="26"/>
        <v>4.3362068965517375</v>
      </c>
      <c r="P84" t="s">
        <v>166</v>
      </c>
      <c r="Q84" s="77">
        <f>COUNTIF(K75:K86,"&gt;0")/COUNTIF(N75:N86,"&gt;0")</f>
        <v>0.58333333333333337</v>
      </c>
      <c r="S84">
        <f t="shared" si="28"/>
        <v>6.1899999999999977</v>
      </c>
    </row>
    <row r="85" spans="1:19" x14ac:dyDescent="0.15">
      <c r="A85" s="42">
        <v>94</v>
      </c>
      <c r="B85" s="38" t="s">
        <v>119</v>
      </c>
      <c r="C85" s="3">
        <f t="shared" si="25"/>
        <v>5.7540116328440591</v>
      </c>
      <c r="D85" s="51">
        <v>42284</v>
      </c>
      <c r="E85" s="31">
        <v>119.97</v>
      </c>
      <c r="F85" s="31">
        <v>118.23</v>
      </c>
      <c r="G85" s="51">
        <v>42329</v>
      </c>
      <c r="H85" s="31">
        <v>120.67</v>
      </c>
      <c r="I85" s="31" t="s">
        <v>122</v>
      </c>
      <c r="J85" s="8">
        <f t="shared" ref="J85:J100" si="29">IFERROR(IF(AND(B85="売",I85="勝"),ABS(E85-H85),IF(AND(B85="買",I85="勝"),ABS(E85-H85),""))*100,"")</f>
        <v>70.000000000000284</v>
      </c>
      <c r="K85" s="8">
        <f t="shared" ref="K85:K100" si="30">IFERROR(IF(J85&gt;=1,J85*C85*100,""),"")</f>
        <v>40278.081429908576</v>
      </c>
      <c r="L85" s="9" t="str">
        <f t="shared" ref="L85:L100" si="31">IFERROR(IF(AND(B85="売",I85="負"),(E85-H85),IF(AND(B85="買",I85="負"),(H85-E85),""))*100,"")</f>
        <v/>
      </c>
      <c r="M85" s="10" t="str">
        <f t="shared" ref="M85:M100" si="32">IFERROR(IF(L85&lt;=1,L85*C85*100,""),"")</f>
        <v/>
      </c>
      <c r="N85" s="4">
        <f t="shared" si="27"/>
        <v>2042674.129659635</v>
      </c>
      <c r="O85" s="5">
        <f t="shared" si="26"/>
        <v>0.40229885057471548</v>
      </c>
      <c r="P85" t="s">
        <v>161</v>
      </c>
      <c r="Q85" s="77">
        <f>Q86/N73</f>
        <v>0.24963473447517023</v>
      </c>
      <c r="S85">
        <f t="shared" si="28"/>
        <v>-2.4399999999999977</v>
      </c>
    </row>
    <row r="86" spans="1:19" x14ac:dyDescent="0.15">
      <c r="A86" s="42">
        <v>95</v>
      </c>
      <c r="B86" s="38" t="s">
        <v>120</v>
      </c>
      <c r="C86" s="3">
        <f t="shared" si="25"/>
        <v>5.8697532461483464</v>
      </c>
      <c r="D86" s="51">
        <v>42366</v>
      </c>
      <c r="E86" s="31">
        <v>120.24</v>
      </c>
      <c r="F86" s="31">
        <v>121.98</v>
      </c>
      <c r="G86" s="51">
        <v>42023</v>
      </c>
      <c r="H86" s="31">
        <v>119.09</v>
      </c>
      <c r="I86" s="31" t="s">
        <v>122</v>
      </c>
      <c r="J86" s="8">
        <f t="shared" si="29"/>
        <v>114.99999999999915</v>
      </c>
      <c r="K86" s="8">
        <f t="shared" si="30"/>
        <v>67502.162330705483</v>
      </c>
      <c r="L86" s="9" t="str">
        <f t="shared" si="31"/>
        <v/>
      </c>
      <c r="M86" s="10" t="str">
        <f t="shared" si="32"/>
        <v/>
      </c>
      <c r="N86" s="4">
        <f t="shared" si="27"/>
        <v>2110176.2919903407</v>
      </c>
      <c r="O86" s="5">
        <f t="shared" si="26"/>
        <v>0.66091954022987676</v>
      </c>
      <c r="P86" t="s">
        <v>160</v>
      </c>
      <c r="Q86" s="71">
        <f>N86-N73</f>
        <v>421541.81843228429</v>
      </c>
      <c r="S86">
        <f t="shared" si="28"/>
        <v>2.8900000000000006</v>
      </c>
    </row>
    <row r="87" spans="1:19" x14ac:dyDescent="0.15">
      <c r="A87" s="60"/>
      <c r="B87" s="60"/>
      <c r="C87" s="3"/>
      <c r="D87" s="59" t="s">
        <v>164</v>
      </c>
      <c r="E87" s="60"/>
      <c r="F87" s="60"/>
      <c r="H87" s="60"/>
      <c r="I87" s="60"/>
      <c r="J87" s="8"/>
      <c r="K87" s="8"/>
      <c r="L87" s="9"/>
      <c r="M87" s="10"/>
      <c r="N87" s="4"/>
      <c r="O87" s="5"/>
      <c r="P87" s="12"/>
    </row>
    <row r="88" spans="1:19" x14ac:dyDescent="0.15">
      <c r="A88" s="42">
        <v>96</v>
      </c>
      <c r="B88" s="38" t="s">
        <v>165</v>
      </c>
      <c r="C88" s="3">
        <f>IFERROR(ABS(N86*$L$2/(E88-F88)/10000),"")</f>
        <v>13.882738763094254</v>
      </c>
      <c r="D88" s="51">
        <v>42041</v>
      </c>
      <c r="E88" s="31">
        <v>121.22</v>
      </c>
      <c r="F88" s="31">
        <v>120.46</v>
      </c>
      <c r="G88" s="51">
        <v>42069</v>
      </c>
      <c r="H88" s="31">
        <v>126.66</v>
      </c>
      <c r="I88" s="31" t="s">
        <v>122</v>
      </c>
      <c r="J88" s="8">
        <f t="shared" si="29"/>
        <v>543.99999999999977</v>
      </c>
      <c r="K88" s="8">
        <f t="shared" si="30"/>
        <v>755220.98871232709</v>
      </c>
      <c r="L88" s="9" t="str">
        <f t="shared" si="31"/>
        <v/>
      </c>
      <c r="M88" s="10" t="str">
        <f t="shared" si="32"/>
        <v/>
      </c>
      <c r="N88" s="4">
        <f>IF(I88="ー",N86+0,IF(M88&lt;1,M88+N86,K88+N86))</f>
        <v>2865397.2807026678</v>
      </c>
      <c r="O88" s="5">
        <f t="shared" si="26"/>
        <v>7.1578947368420538</v>
      </c>
      <c r="P88" s="12"/>
      <c r="S88">
        <f t="shared" si="28"/>
        <v>-6.2000000000000028</v>
      </c>
    </row>
    <row r="89" spans="1:19" x14ac:dyDescent="0.15">
      <c r="A89" s="42">
        <v>97</v>
      </c>
      <c r="B89" s="38" t="s">
        <v>165</v>
      </c>
      <c r="C89" s="3">
        <f t="shared" si="25"/>
        <v>6.6948534595856266</v>
      </c>
      <c r="D89" s="51">
        <v>42076</v>
      </c>
      <c r="E89" s="31">
        <v>130.37</v>
      </c>
      <c r="F89" s="31">
        <v>128.22999999999999</v>
      </c>
      <c r="G89" s="51">
        <v>42085</v>
      </c>
      <c r="H89" s="31">
        <v>131.43</v>
      </c>
      <c r="I89" s="31" t="s">
        <v>122</v>
      </c>
      <c r="J89" s="8">
        <f t="shared" si="29"/>
        <v>106.00000000000023</v>
      </c>
      <c r="K89" s="8">
        <f t="shared" si="30"/>
        <v>70965.446671607802</v>
      </c>
      <c r="L89" s="9" t="str">
        <f t="shared" si="31"/>
        <v/>
      </c>
      <c r="M89" s="10" t="str">
        <f t="shared" si="32"/>
        <v/>
      </c>
      <c r="N89" s="4">
        <f t="shared" si="27"/>
        <v>2936362.7273742757</v>
      </c>
      <c r="O89" s="5">
        <f t="shared" si="26"/>
        <v>0.49532710280373599</v>
      </c>
      <c r="P89" s="12"/>
      <c r="S89">
        <f t="shared" si="28"/>
        <v>-3.2000000000000171</v>
      </c>
    </row>
    <row r="90" spans="1:19" x14ac:dyDescent="0.15">
      <c r="A90" s="42">
        <v>98</v>
      </c>
      <c r="B90" s="38" t="s">
        <v>119</v>
      </c>
      <c r="C90" s="3">
        <f t="shared" si="25"/>
        <v>7.5291351983956218</v>
      </c>
      <c r="D90" s="51">
        <v>42093</v>
      </c>
      <c r="E90" s="31">
        <v>132.56</v>
      </c>
      <c r="F90" s="31">
        <v>130.61000000000001</v>
      </c>
      <c r="G90" s="51">
        <v>42098</v>
      </c>
      <c r="H90" s="31">
        <v>130.61000000000001</v>
      </c>
      <c r="I90" s="31" t="s">
        <v>123</v>
      </c>
      <c r="J90" s="8" t="str">
        <f t="shared" si="29"/>
        <v/>
      </c>
      <c r="K90" s="8" t="str">
        <f t="shared" si="30"/>
        <v/>
      </c>
      <c r="L90" s="9">
        <f t="shared" si="31"/>
        <v>-194.99999999999886</v>
      </c>
      <c r="M90" s="10">
        <f t="shared" si="32"/>
        <v>-146818.13636871378</v>
      </c>
      <c r="N90" s="4">
        <f t="shared" si="27"/>
        <v>2789544.5910055619</v>
      </c>
      <c r="O90" s="5"/>
      <c r="P90" s="12"/>
      <c r="S90">
        <f t="shared" si="28"/>
        <v>0</v>
      </c>
    </row>
    <row r="91" spans="1:19" x14ac:dyDescent="0.15">
      <c r="A91" s="42">
        <v>99</v>
      </c>
      <c r="B91" s="38" t="s">
        <v>120</v>
      </c>
      <c r="C91" s="3">
        <f t="shared" si="25"/>
        <v>12.79607610553006</v>
      </c>
      <c r="D91" s="51">
        <v>42120</v>
      </c>
      <c r="E91" s="31">
        <v>130.47999999999999</v>
      </c>
      <c r="F91" s="31">
        <v>131.57</v>
      </c>
      <c r="G91" s="51">
        <v>42121</v>
      </c>
      <c r="H91" s="31">
        <v>131.57</v>
      </c>
      <c r="I91" s="31" t="s">
        <v>123</v>
      </c>
      <c r="J91" s="8" t="str">
        <f t="shared" si="29"/>
        <v/>
      </c>
      <c r="K91" s="8" t="str">
        <f t="shared" si="30"/>
        <v/>
      </c>
      <c r="L91" s="9">
        <f t="shared" si="31"/>
        <v>-109.00000000000034</v>
      </c>
      <c r="M91" s="10">
        <f t="shared" si="32"/>
        <v>-139477.22955027811</v>
      </c>
      <c r="N91" s="4">
        <f t="shared" si="27"/>
        <v>2650067.3614552836</v>
      </c>
      <c r="O91" s="5"/>
      <c r="P91" s="12"/>
      <c r="S91">
        <f t="shared" si="28"/>
        <v>0</v>
      </c>
    </row>
    <row r="92" spans="1:19" x14ac:dyDescent="0.15">
      <c r="A92" s="42">
        <v>100</v>
      </c>
      <c r="B92" s="38" t="s">
        <v>120</v>
      </c>
      <c r="C92" s="3">
        <f>IFERROR(ABS(N91*$L$2/(E92-F92)/10000),"")</f>
        <v>10.271578920369381</v>
      </c>
      <c r="D92" s="51">
        <v>42124</v>
      </c>
      <c r="E92" s="31">
        <v>129.35</v>
      </c>
      <c r="F92" s="31">
        <v>130.63999999999999</v>
      </c>
      <c r="G92" s="51">
        <v>42172</v>
      </c>
      <c r="H92" s="31">
        <v>124.35</v>
      </c>
      <c r="I92" s="31" t="s">
        <v>122</v>
      </c>
      <c r="J92" s="8">
        <f t="shared" si="29"/>
        <v>500</v>
      </c>
      <c r="K92" s="8">
        <f t="shared" si="30"/>
        <v>513578.946018469</v>
      </c>
      <c r="L92" s="9" t="str">
        <f t="shared" si="31"/>
        <v/>
      </c>
      <c r="M92" s="10" t="str">
        <f t="shared" si="32"/>
        <v/>
      </c>
      <c r="N92" s="4">
        <f t="shared" si="27"/>
        <v>3163646.3074737526</v>
      </c>
      <c r="O92" s="5">
        <f t="shared" si="26"/>
        <v>3.8759689922480858</v>
      </c>
      <c r="P92" s="12"/>
      <c r="S92">
        <f t="shared" si="28"/>
        <v>6.289999999999992</v>
      </c>
    </row>
    <row r="93" spans="1:19" x14ac:dyDescent="0.15">
      <c r="A93" s="43">
        <v>102</v>
      </c>
      <c r="B93" s="38" t="s">
        <v>119</v>
      </c>
      <c r="C93" s="3">
        <f t="shared" ref="C93:C96" si="33">IFERROR(ABS(N92*$L$2/(E93-F93)/10000),"")</f>
        <v>12.074985906388481</v>
      </c>
      <c r="D93" s="58">
        <v>42174</v>
      </c>
      <c r="E93" s="31">
        <v>124.46</v>
      </c>
      <c r="F93" s="31">
        <v>123.15</v>
      </c>
      <c r="G93" s="51">
        <v>42183</v>
      </c>
      <c r="H93" s="31">
        <v>123.15</v>
      </c>
      <c r="I93" s="31" t="s">
        <v>123</v>
      </c>
      <c r="J93" s="8" t="str">
        <f t="shared" si="29"/>
        <v/>
      </c>
      <c r="K93" s="8" t="str">
        <f t="shared" si="30"/>
        <v/>
      </c>
      <c r="L93" s="9">
        <f t="shared" si="31"/>
        <v>-130.99999999999881</v>
      </c>
      <c r="M93" s="10">
        <f t="shared" si="32"/>
        <v>-158182.31537368766</v>
      </c>
      <c r="N93" s="4">
        <f t="shared" si="27"/>
        <v>3005463.9921000651</v>
      </c>
      <c r="O93" s="5"/>
      <c r="P93" t="s">
        <v>168</v>
      </c>
      <c r="Q93" s="11">
        <f>AVERAGE(O88:O96)</f>
        <v>4.9441663948421528</v>
      </c>
      <c r="S93">
        <f t="shared" si="28"/>
        <v>0</v>
      </c>
    </row>
    <row r="94" spans="1:19" x14ac:dyDescent="0.15">
      <c r="A94" s="43">
        <v>103</v>
      </c>
      <c r="B94" s="38" t="s">
        <v>119</v>
      </c>
      <c r="C94" s="3">
        <f t="shared" si="33"/>
        <v>5.8245426203489679</v>
      </c>
      <c r="D94" s="51">
        <v>42184</v>
      </c>
      <c r="E94" s="31">
        <v>125.41</v>
      </c>
      <c r="F94" s="31">
        <v>122.83</v>
      </c>
      <c r="G94" s="51">
        <v>42195</v>
      </c>
      <c r="H94" s="31">
        <v>122.83</v>
      </c>
      <c r="I94" s="31" t="s">
        <v>123</v>
      </c>
      <c r="J94" s="8" t="str">
        <f t="shared" si="29"/>
        <v/>
      </c>
      <c r="K94" s="8" t="str">
        <f t="shared" si="30"/>
        <v/>
      </c>
      <c r="L94" s="9">
        <f t="shared" si="31"/>
        <v>-257.99999999999983</v>
      </c>
      <c r="M94" s="10">
        <f t="shared" si="32"/>
        <v>-150273.19960500326</v>
      </c>
      <c r="N94" s="4">
        <f t="shared" si="27"/>
        <v>2855190.7924950616</v>
      </c>
      <c r="O94" s="5"/>
      <c r="P94" t="s">
        <v>166</v>
      </c>
      <c r="Q94" s="77">
        <f>COUNTIF(K88:K96,"&gt;0")/COUNTIF(N88:N96,"&gt;0")</f>
        <v>0.44444444444444442</v>
      </c>
      <c r="S94">
        <f t="shared" si="28"/>
        <v>0</v>
      </c>
    </row>
    <row r="95" spans="1:19" x14ac:dyDescent="0.15">
      <c r="A95" s="43">
        <v>104</v>
      </c>
      <c r="B95" s="38" t="s">
        <v>120</v>
      </c>
      <c r="C95" s="3">
        <f t="shared" si="33"/>
        <v>10.981503048057833</v>
      </c>
      <c r="D95" s="51">
        <v>42205</v>
      </c>
      <c r="E95" s="31">
        <v>122.46</v>
      </c>
      <c r="F95" s="31">
        <v>123.76</v>
      </c>
      <c r="G95" s="51">
        <v>42212</v>
      </c>
      <c r="H95" s="31">
        <v>123.76</v>
      </c>
      <c r="I95" s="31" t="s">
        <v>123</v>
      </c>
      <c r="J95" s="8" t="str">
        <f t="shared" si="29"/>
        <v/>
      </c>
      <c r="K95" s="8" t="str">
        <f t="shared" si="30"/>
        <v/>
      </c>
      <c r="L95" s="9">
        <f t="shared" si="31"/>
        <v>-130.00000000000114</v>
      </c>
      <c r="M95" s="10">
        <f t="shared" si="32"/>
        <v>-142759.53962475309</v>
      </c>
      <c r="N95" s="4">
        <f t="shared" si="27"/>
        <v>2712431.2528703087</v>
      </c>
      <c r="O95" s="5"/>
      <c r="P95" t="s">
        <v>161</v>
      </c>
      <c r="Q95" s="77">
        <f>Q96/N86</f>
        <v>0.81547232832018834</v>
      </c>
      <c r="R95" s="79">
        <f>SUM(M93:M95)/N92</f>
        <v>-0.142625</v>
      </c>
      <c r="S95">
        <f t="shared" si="28"/>
        <v>0</v>
      </c>
    </row>
    <row r="96" spans="1:19" x14ac:dyDescent="0.15">
      <c r="A96" s="43">
        <v>105</v>
      </c>
      <c r="B96" s="38" t="s">
        <v>119</v>
      </c>
      <c r="C96" s="3">
        <f t="shared" si="33"/>
        <v>6.8495738708846039</v>
      </c>
      <c r="D96" s="51">
        <v>42219</v>
      </c>
      <c r="E96" s="31">
        <v>123.03</v>
      </c>
      <c r="F96" s="31">
        <v>121.05</v>
      </c>
      <c r="G96" s="51">
        <v>42027</v>
      </c>
      <c r="H96" s="31">
        <v>139.36000000000001</v>
      </c>
      <c r="I96" s="31" t="s">
        <v>122</v>
      </c>
      <c r="J96" s="8">
        <f t="shared" si="29"/>
        <v>1633.0000000000014</v>
      </c>
      <c r="K96" s="8">
        <f t="shared" si="30"/>
        <v>1118535.4131154567</v>
      </c>
      <c r="L96" s="9" t="str">
        <f t="shared" si="31"/>
        <v/>
      </c>
      <c r="M96" s="10" t="str">
        <f t="shared" si="32"/>
        <v/>
      </c>
      <c r="N96" s="4">
        <f t="shared" si="27"/>
        <v>3830966.6659857654</v>
      </c>
      <c r="O96" s="5">
        <f t="shared" si="26"/>
        <v>8.2474747474747367</v>
      </c>
      <c r="P96" t="s">
        <v>160</v>
      </c>
      <c r="Q96" s="71">
        <f>N96-N86</f>
        <v>1720790.3739954247</v>
      </c>
      <c r="S96">
        <f t="shared" si="28"/>
        <v>-18.310000000000016</v>
      </c>
    </row>
    <row r="97" spans="1:19" x14ac:dyDescent="0.15">
      <c r="A97" s="60"/>
      <c r="B97" s="60"/>
      <c r="C97" s="3"/>
      <c r="D97" s="59" t="s">
        <v>167</v>
      </c>
      <c r="E97" s="60"/>
      <c r="F97" s="60"/>
      <c r="H97" s="60"/>
      <c r="I97" s="60"/>
      <c r="J97" s="8"/>
      <c r="K97" s="8"/>
      <c r="L97" s="9"/>
      <c r="M97" s="10"/>
      <c r="N97" s="4"/>
      <c r="O97" s="5"/>
      <c r="P97" s="12"/>
    </row>
    <row r="98" spans="1:19" x14ac:dyDescent="0.15">
      <c r="A98" s="43">
        <v>110</v>
      </c>
      <c r="B98" s="38" t="s">
        <v>120</v>
      </c>
      <c r="C98" s="3">
        <f>IFERROR(ABS(N96*$L$2/(E98-F98)/10000),"")</f>
        <v>7.7549932509833353</v>
      </c>
      <c r="D98" s="51">
        <v>42047</v>
      </c>
      <c r="E98" s="34">
        <v>145.25</v>
      </c>
      <c r="F98" s="34">
        <v>147.72</v>
      </c>
      <c r="G98" s="51">
        <v>42071</v>
      </c>
      <c r="H98" s="34">
        <v>143</v>
      </c>
      <c r="I98" s="34" t="s">
        <v>122</v>
      </c>
      <c r="J98" s="8">
        <f t="shared" si="29"/>
        <v>225</v>
      </c>
      <c r="K98" s="8">
        <f t="shared" si="30"/>
        <v>174487.34814712504</v>
      </c>
      <c r="L98" s="9" t="str">
        <f t="shared" si="31"/>
        <v/>
      </c>
      <c r="M98" s="10" t="str">
        <f t="shared" si="32"/>
        <v/>
      </c>
      <c r="N98" s="4">
        <f>IF(I98="ー",N96+0,IF(M98&lt;1,M98+N96,K98+N96))</f>
        <v>4005454.0141328904</v>
      </c>
      <c r="O98" s="5">
        <f t="shared" si="26"/>
        <v>0.91093117408906921</v>
      </c>
      <c r="P98" s="12"/>
      <c r="S98">
        <f t="shared" si="28"/>
        <v>4.7199999999999989</v>
      </c>
    </row>
    <row r="99" spans="1:19" x14ac:dyDescent="0.15">
      <c r="A99" s="43">
        <v>111</v>
      </c>
      <c r="B99" s="38" t="s">
        <v>120</v>
      </c>
      <c r="C99" s="3">
        <f t="shared" si="25"/>
        <v>7.002541982749845</v>
      </c>
      <c r="D99" s="51">
        <v>42088</v>
      </c>
      <c r="E99" s="34">
        <v>141.87</v>
      </c>
      <c r="F99" s="34">
        <v>144.72999999999999</v>
      </c>
      <c r="G99" s="51">
        <v>42098</v>
      </c>
      <c r="H99" s="34">
        <v>143.77000000000001</v>
      </c>
      <c r="I99" s="34" t="s">
        <v>123</v>
      </c>
      <c r="J99" s="8" t="str">
        <f t="shared" si="29"/>
        <v/>
      </c>
      <c r="K99" s="8" t="str">
        <f t="shared" si="30"/>
        <v/>
      </c>
      <c r="L99" s="9">
        <f t="shared" si="31"/>
        <v>-190.00000000000057</v>
      </c>
      <c r="M99" s="10">
        <f t="shared" si="32"/>
        <v>-133048.29767224746</v>
      </c>
      <c r="N99" s="4">
        <f t="shared" si="27"/>
        <v>3872405.7164606429</v>
      </c>
      <c r="O99" s="5"/>
      <c r="P99" s="12"/>
      <c r="S99">
        <f t="shared" si="28"/>
        <v>0.95999999999997954</v>
      </c>
    </row>
    <row r="100" spans="1:19" x14ac:dyDescent="0.15">
      <c r="A100" s="43">
        <v>112</v>
      </c>
      <c r="B100" s="38" t="s">
        <v>119</v>
      </c>
      <c r="C100" s="3">
        <f t="shared" si="25"/>
        <v>2.9879673738122161</v>
      </c>
      <c r="D100" s="51">
        <v>42098</v>
      </c>
      <c r="E100" s="34">
        <v>146.83000000000001</v>
      </c>
      <c r="F100" s="34">
        <v>140.35</v>
      </c>
      <c r="G100" s="51">
        <v>42147</v>
      </c>
      <c r="H100" s="34">
        <v>152.71</v>
      </c>
      <c r="I100" s="34" t="s">
        <v>122</v>
      </c>
      <c r="J100" s="8">
        <f t="shared" si="29"/>
        <v>587.99999999999955</v>
      </c>
      <c r="K100" s="8">
        <f t="shared" si="30"/>
        <v>175692.48158015817</v>
      </c>
      <c r="L100" s="9" t="str">
        <f t="shared" si="31"/>
        <v/>
      </c>
      <c r="M100" s="10" t="str">
        <f t="shared" si="32"/>
        <v/>
      </c>
      <c r="N100" s="4">
        <f t="shared" si="27"/>
        <v>4048098.1980408011</v>
      </c>
      <c r="O100" s="5">
        <f t="shared" si="26"/>
        <v>0.90740740740740411</v>
      </c>
      <c r="P100" s="12"/>
      <c r="S100">
        <f t="shared" si="28"/>
        <v>-12.360000000000014</v>
      </c>
    </row>
    <row r="101" spans="1:19" x14ac:dyDescent="0.15">
      <c r="A101" s="43">
        <v>114</v>
      </c>
      <c r="B101" s="38" t="s">
        <v>120</v>
      </c>
      <c r="C101" s="3">
        <f t="shared" si="25"/>
        <v>11.121148895716528</v>
      </c>
      <c r="D101" s="51">
        <v>42155</v>
      </c>
      <c r="E101" s="34">
        <v>152.36000000000001</v>
      </c>
      <c r="F101" s="34">
        <v>154.18</v>
      </c>
      <c r="G101" s="51">
        <v>42165</v>
      </c>
      <c r="H101" s="34">
        <v>153.77000000000001</v>
      </c>
      <c r="I101" s="34" t="s">
        <v>123</v>
      </c>
      <c r="J101" s="8" t="str">
        <f t="shared" ref="J101:J106" si="34">IFERROR(IF(AND(B101="売",I101="勝"),ABS(E101-H101),IF(AND(B101="買",I101="勝"),ABS(E101-H101),""))*100,"")</f>
        <v/>
      </c>
      <c r="K101" s="8" t="str">
        <f t="shared" ref="K101:K106" si="35">IFERROR(IF(J101&gt;=1,J101*C101*100,""),"")</f>
        <v/>
      </c>
      <c r="L101" s="9">
        <f t="shared" ref="L101:L106" si="36">IFERROR(IF(AND(B101="売",I101="負"),(E101-H101),IF(AND(B101="買",I101="負"),(H101-E101),""))*100,"")</f>
        <v>-140.99999999999966</v>
      </c>
      <c r="M101" s="10">
        <f t="shared" ref="M101:M106" si="37">IFERROR(IF(L101&lt;=1,L101*C101*100,""),"")</f>
        <v>-156808.19942960268</v>
      </c>
      <c r="N101" s="4">
        <f t="shared" si="27"/>
        <v>3891289.9986111983</v>
      </c>
      <c r="O101" s="5"/>
      <c r="P101" s="12"/>
      <c r="S101">
        <f t="shared" si="28"/>
        <v>0.40999999999999659</v>
      </c>
    </row>
    <row r="102" spans="1:19" x14ac:dyDescent="0.15">
      <c r="A102" s="43">
        <v>115</v>
      </c>
      <c r="B102" s="38" t="s">
        <v>120</v>
      </c>
      <c r="C102" s="3">
        <f t="shared" si="25"/>
        <v>4.2022570179386634</v>
      </c>
      <c r="D102" s="51">
        <v>42167</v>
      </c>
      <c r="E102" s="37">
        <v>149.32</v>
      </c>
      <c r="F102" s="37">
        <v>153.94999999999999</v>
      </c>
      <c r="G102" s="51">
        <v>42186</v>
      </c>
      <c r="H102" s="37">
        <v>151.97999999999999</v>
      </c>
      <c r="I102" s="37" t="s">
        <v>123</v>
      </c>
      <c r="J102" s="8" t="str">
        <f t="shared" si="34"/>
        <v/>
      </c>
      <c r="K102" s="8" t="str">
        <f t="shared" si="35"/>
        <v/>
      </c>
      <c r="L102" s="9">
        <f t="shared" si="36"/>
        <v>-265.99999999999966</v>
      </c>
      <c r="M102" s="10">
        <f t="shared" si="37"/>
        <v>-111780.0366771683</v>
      </c>
      <c r="N102" s="4">
        <f t="shared" si="27"/>
        <v>3779509.9619340301</v>
      </c>
      <c r="O102" s="5"/>
      <c r="P102" s="12"/>
      <c r="S102">
        <f t="shared" si="28"/>
        <v>1.9699999999999989</v>
      </c>
    </row>
    <row r="103" spans="1:19" x14ac:dyDescent="0.15">
      <c r="A103" s="43">
        <v>116</v>
      </c>
      <c r="B103" s="38" t="s">
        <v>119</v>
      </c>
      <c r="C103" s="3">
        <f t="shared" si="25"/>
        <v>11.960474563082496</v>
      </c>
      <c r="D103" s="51">
        <v>42200</v>
      </c>
      <c r="E103" s="37">
        <v>151.22999999999999</v>
      </c>
      <c r="F103" s="37">
        <v>149.65</v>
      </c>
      <c r="G103" s="51">
        <v>42210</v>
      </c>
      <c r="H103" s="37">
        <v>152.02000000000001</v>
      </c>
      <c r="I103" s="37" t="s">
        <v>122</v>
      </c>
      <c r="J103" s="8">
        <f t="shared" si="34"/>
        <v>79.000000000002046</v>
      </c>
      <c r="K103" s="8">
        <f t="shared" si="35"/>
        <v>94487.749048354162</v>
      </c>
      <c r="L103" s="9" t="str">
        <f t="shared" si="36"/>
        <v/>
      </c>
      <c r="M103" s="10" t="str">
        <f t="shared" si="37"/>
        <v/>
      </c>
      <c r="N103" s="4">
        <f t="shared" si="27"/>
        <v>3873997.7109823842</v>
      </c>
      <c r="O103" s="5">
        <f t="shared" si="26"/>
        <v>0.50000000000001799</v>
      </c>
      <c r="P103" t="s">
        <v>168</v>
      </c>
      <c r="Q103" s="11">
        <f>AVERAGE(O98:O106)</f>
        <v>2.6663998389484052</v>
      </c>
      <c r="S103">
        <f t="shared" si="28"/>
        <v>-2.3700000000000045</v>
      </c>
    </row>
    <row r="104" spans="1:19" x14ac:dyDescent="0.15">
      <c r="A104" s="43">
        <v>117</v>
      </c>
      <c r="B104" s="38" t="s">
        <v>119</v>
      </c>
      <c r="C104" s="3">
        <f t="shared" si="25"/>
        <v>13.737580535398557</v>
      </c>
      <c r="D104" s="51">
        <v>42224</v>
      </c>
      <c r="E104" s="37">
        <v>150.31</v>
      </c>
      <c r="F104" s="37">
        <v>148.9</v>
      </c>
      <c r="G104" s="51">
        <v>42228</v>
      </c>
      <c r="H104" s="37">
        <v>148.9</v>
      </c>
      <c r="I104" s="37" t="s">
        <v>123</v>
      </c>
      <c r="J104" s="8" t="str">
        <f t="shared" si="34"/>
        <v/>
      </c>
      <c r="K104" s="8" t="str">
        <f t="shared" si="35"/>
        <v/>
      </c>
      <c r="L104" s="9">
        <f t="shared" si="36"/>
        <v>-140.99999999999966</v>
      </c>
      <c r="M104" s="10">
        <f t="shared" si="37"/>
        <v>-193699.88554911918</v>
      </c>
      <c r="N104" s="4">
        <f t="shared" si="27"/>
        <v>3680297.825433265</v>
      </c>
      <c r="O104" s="5"/>
      <c r="P104" t="s">
        <v>166</v>
      </c>
      <c r="Q104" s="77">
        <f>COUNTIF(K98:K106,"&gt;0")/COUNTIF(N98:N106,"&gt;0")</f>
        <v>0.55555555555555558</v>
      </c>
      <c r="S104">
        <f t="shared" si="28"/>
        <v>0</v>
      </c>
    </row>
    <row r="105" spans="1:19" x14ac:dyDescent="0.15">
      <c r="A105" s="43">
        <v>118</v>
      </c>
      <c r="B105" s="38" t="s">
        <v>119</v>
      </c>
      <c r="C105" s="3">
        <f t="shared" si="25"/>
        <v>7.6354726668740041</v>
      </c>
      <c r="D105" s="51">
        <v>42249</v>
      </c>
      <c r="E105" s="37">
        <v>154.91</v>
      </c>
      <c r="F105" s="37">
        <v>152.5</v>
      </c>
      <c r="G105" s="51">
        <v>42280</v>
      </c>
      <c r="H105" s="37">
        <v>156.68</v>
      </c>
      <c r="I105" s="37" t="s">
        <v>122</v>
      </c>
      <c r="J105" s="8">
        <f t="shared" si="34"/>
        <v>177.00000000000102</v>
      </c>
      <c r="K105" s="8">
        <f t="shared" si="35"/>
        <v>135147.86620367065</v>
      </c>
      <c r="L105" s="9" t="str">
        <f t="shared" si="36"/>
        <v/>
      </c>
      <c r="M105" s="10" t="str">
        <f t="shared" si="37"/>
        <v/>
      </c>
      <c r="N105" s="4">
        <f t="shared" si="27"/>
        <v>3815445.6916369358</v>
      </c>
      <c r="O105" s="5">
        <f t="shared" si="26"/>
        <v>0.73443983402490154</v>
      </c>
      <c r="P105" t="s">
        <v>161</v>
      </c>
      <c r="Q105" s="77">
        <f>Q106/N96</f>
        <v>0.50782729975116692</v>
      </c>
      <c r="S105">
        <f t="shared" si="28"/>
        <v>-4.1800000000000068</v>
      </c>
    </row>
    <row r="106" spans="1:19" x14ac:dyDescent="0.15">
      <c r="A106" s="43">
        <v>119</v>
      </c>
      <c r="B106" s="38" t="s">
        <v>119</v>
      </c>
      <c r="C106" s="3">
        <f t="shared" si="25"/>
        <v>12.387810687132744</v>
      </c>
      <c r="D106" s="51">
        <v>42287</v>
      </c>
      <c r="E106" s="37">
        <v>156.99</v>
      </c>
      <c r="F106" s="37">
        <v>155.44999999999999</v>
      </c>
      <c r="G106" s="51">
        <v>42006</v>
      </c>
      <c r="H106" s="37">
        <v>172.82</v>
      </c>
      <c r="I106" s="37" t="s">
        <v>122</v>
      </c>
      <c r="J106" s="8">
        <f t="shared" si="34"/>
        <v>1582.9999999999984</v>
      </c>
      <c r="K106" s="8">
        <f t="shared" si="35"/>
        <v>1960990.4317731115</v>
      </c>
      <c r="L106" s="9" t="str">
        <f t="shared" si="36"/>
        <v/>
      </c>
      <c r="M106" s="10" t="str">
        <f t="shared" si="37"/>
        <v/>
      </c>
      <c r="N106" s="4">
        <f t="shared" si="27"/>
        <v>5776436.123410047</v>
      </c>
      <c r="O106" s="5">
        <f t="shared" si="26"/>
        <v>10.279220779220632</v>
      </c>
      <c r="P106" t="s">
        <v>160</v>
      </c>
      <c r="Q106" s="71">
        <f>N106-N96</f>
        <v>1945469.4574242816</v>
      </c>
      <c r="S106">
        <f t="shared" si="28"/>
        <v>-17.370000000000005</v>
      </c>
    </row>
    <row r="107" spans="1:19" x14ac:dyDescent="0.15">
      <c r="A107" s="60"/>
      <c r="B107" s="60"/>
      <c r="C107" s="3"/>
      <c r="D107" s="75" t="s">
        <v>169</v>
      </c>
      <c r="E107" s="60"/>
      <c r="F107" s="60"/>
      <c r="H107" s="60"/>
      <c r="I107" s="60"/>
      <c r="J107" s="8"/>
      <c r="K107" s="8"/>
      <c r="L107" s="9"/>
      <c r="M107" s="10"/>
      <c r="N107" s="4"/>
      <c r="O107" s="5"/>
      <c r="Q107" s="71"/>
    </row>
    <row r="108" spans="1:19" x14ac:dyDescent="0.15">
      <c r="A108" s="43">
        <v>126</v>
      </c>
      <c r="B108" s="38" t="s">
        <v>120</v>
      </c>
      <c r="C108" s="3">
        <f>IFERROR(ABS(N106*$L$2/(E108-F108)/10000),"")</f>
        <v>9.5954088428738622</v>
      </c>
      <c r="D108" s="51">
        <v>42006</v>
      </c>
      <c r="E108" s="37">
        <v>171.83</v>
      </c>
      <c r="F108" s="37">
        <v>174.84</v>
      </c>
      <c r="G108" s="51">
        <v>42026</v>
      </c>
      <c r="H108" s="37">
        <v>173.12</v>
      </c>
      <c r="I108" s="37" t="s">
        <v>123</v>
      </c>
      <c r="J108" s="8" t="str">
        <f t="shared" ref="J108:J123" si="38">IFERROR(IF(AND(B108="売",I108="勝"),ABS(E108-H108),IF(AND(B108="買",I108="勝"),ABS(E108-H108),""))*100,"")</f>
        <v/>
      </c>
      <c r="K108" s="8" t="str">
        <f t="shared" ref="K108:K123" si="39">IFERROR(IF(J108&gt;=0,J108*C108*100,""),"")</f>
        <v/>
      </c>
      <c r="L108" s="9">
        <f t="shared" ref="L108:L123" si="40">IFERROR(IF(AND(B108="売",I108="負"),(E108-H108),IF(AND(B108="買",I108="負"),(H108-E108),""))*100,"")</f>
        <v>-128.9999999999992</v>
      </c>
      <c r="M108" s="10">
        <f t="shared" ref="M108:M123" si="41">IFERROR(IF(L108&lt;=0,L108*C108*100,""),"")</f>
        <v>-123780.77407307205</v>
      </c>
      <c r="N108" s="4">
        <f>IF(I108="ー",N106+0,IF(M108&lt;1,M108+N106,K108+N106))</f>
        <v>5652655.3493369753</v>
      </c>
      <c r="O108" s="5"/>
      <c r="P108" s="12"/>
      <c r="S108">
        <f t="shared" si="28"/>
        <v>1.7199999999999989</v>
      </c>
    </row>
    <row r="109" spans="1:19" x14ac:dyDescent="0.15">
      <c r="A109" s="43">
        <v>127</v>
      </c>
      <c r="B109" s="38" t="s">
        <v>120</v>
      </c>
      <c r="C109" s="3">
        <f t="shared" ref="C109:C123" si="42">IFERROR(ABS(N108*$L$2/(E109-F109)/10000),"")</f>
        <v>10.203349006023384</v>
      </c>
      <c r="D109" s="51">
        <v>42033</v>
      </c>
      <c r="E109" s="37">
        <v>168.69</v>
      </c>
      <c r="F109" s="37">
        <v>171.46</v>
      </c>
      <c r="G109" s="51">
        <v>42044</v>
      </c>
      <c r="H109" s="37">
        <v>168.21</v>
      </c>
      <c r="I109" s="37" t="s">
        <v>122</v>
      </c>
      <c r="J109" s="8">
        <f t="shared" si="38"/>
        <v>47.999999999998977</v>
      </c>
      <c r="K109" s="8">
        <f t="shared" si="39"/>
        <v>48976.075228911199</v>
      </c>
      <c r="L109" s="9" t="str">
        <f t="shared" si="40"/>
        <v/>
      </c>
      <c r="M109" s="10" t="str">
        <f t="shared" si="41"/>
        <v/>
      </c>
      <c r="N109" s="4">
        <f t="shared" ref="N109" si="43">IF(I109="ー",N108+0,IF(M109&lt;1,M109+N108,K109+N108))</f>
        <v>5701631.4245658861</v>
      </c>
      <c r="O109" s="5">
        <f t="shared" si="26"/>
        <v>0.17328519855595234</v>
      </c>
      <c r="P109" s="12"/>
      <c r="S109">
        <f t="shared" si="28"/>
        <v>3.25</v>
      </c>
    </row>
    <row r="110" spans="1:19" x14ac:dyDescent="0.15">
      <c r="A110" s="43">
        <v>128</v>
      </c>
      <c r="B110" s="38" t="s">
        <v>119</v>
      </c>
      <c r="C110" s="3">
        <f t="shared" ref="C110" si="44">IFERROR(ABS(N108*$L$2/(E110-F110)/10000),"")</f>
        <v>17.888149839673833</v>
      </c>
      <c r="D110" s="51">
        <v>42046</v>
      </c>
      <c r="E110" s="37">
        <v>169.08</v>
      </c>
      <c r="F110" s="37">
        <v>167.5</v>
      </c>
      <c r="G110" s="51">
        <v>42054</v>
      </c>
      <c r="H110" s="37">
        <v>169.89</v>
      </c>
      <c r="I110" s="37" t="s">
        <v>122</v>
      </c>
      <c r="J110" s="8">
        <f t="shared" si="38"/>
        <v>80.999999999997385</v>
      </c>
      <c r="K110" s="8">
        <f t="shared" si="39"/>
        <v>144894.01370135337</v>
      </c>
      <c r="L110" s="9" t="str">
        <f t="shared" si="40"/>
        <v/>
      </c>
      <c r="M110" s="10" t="str">
        <f t="shared" si="41"/>
        <v/>
      </c>
      <c r="N110" s="4">
        <f t="shared" ref="N109:N124" si="45">IF(I109="ー",N109+0,IF(M110&lt;1,M110+N109,K110+N109))</f>
        <v>5846525.4382672394</v>
      </c>
      <c r="O110" s="5">
        <f t="shared" si="26"/>
        <v>0.51265822784808068</v>
      </c>
      <c r="P110" s="12"/>
      <c r="S110">
        <f t="shared" si="28"/>
        <v>-2.3899999999999864</v>
      </c>
    </row>
    <row r="111" spans="1:19" x14ac:dyDescent="0.15">
      <c r="A111" s="43">
        <v>129</v>
      </c>
      <c r="B111" s="38" t="s">
        <v>120</v>
      </c>
      <c r="C111" s="3">
        <f t="shared" si="42"/>
        <v>21.979418940854075</v>
      </c>
      <c r="D111" s="51">
        <v>42073</v>
      </c>
      <c r="E111" s="37">
        <v>171.53</v>
      </c>
      <c r="F111" s="37">
        <v>172.86</v>
      </c>
      <c r="G111" s="51">
        <v>42082</v>
      </c>
      <c r="H111" s="37">
        <v>169.6</v>
      </c>
      <c r="I111" s="37" t="s">
        <v>122</v>
      </c>
      <c r="J111" s="8">
        <f t="shared" si="38"/>
        <v>193.00000000000068</v>
      </c>
      <c r="K111" s="8">
        <f t="shared" si="39"/>
        <v>424202.78555848519</v>
      </c>
      <c r="L111" s="9" t="str">
        <f t="shared" si="40"/>
        <v/>
      </c>
      <c r="M111" s="10" t="str">
        <f t="shared" si="41"/>
        <v/>
      </c>
      <c r="N111" s="4">
        <f t="shared" si="45"/>
        <v>6270728.2238257248</v>
      </c>
      <c r="O111" s="5">
        <f t="shared" ref="O111:O128" si="46">(H111-E111)/(E111-F111)</f>
        <v>1.4511278195488637</v>
      </c>
      <c r="P111" s="12"/>
      <c r="S111">
        <f t="shared" si="28"/>
        <v>3.2600000000000193</v>
      </c>
    </row>
    <row r="112" spans="1:19" x14ac:dyDescent="0.15">
      <c r="A112" s="43">
        <v>130</v>
      </c>
      <c r="B112" s="38" t="s">
        <v>119</v>
      </c>
      <c r="C112" s="3">
        <f t="shared" ref="C112" si="47">IFERROR(ABS(N110*$L$2/(E112-F112)/10000),"")</f>
        <v>17.29741253925221</v>
      </c>
      <c r="D112" s="51">
        <v>42090</v>
      </c>
      <c r="E112" s="47">
        <v>170.32</v>
      </c>
      <c r="F112" s="47">
        <v>168.63</v>
      </c>
      <c r="G112" s="51">
        <v>42098</v>
      </c>
      <c r="H112" s="47">
        <v>170.98</v>
      </c>
      <c r="I112" s="47" t="s">
        <v>122</v>
      </c>
      <c r="J112" s="8">
        <f t="shared" si="38"/>
        <v>65.999999999999659</v>
      </c>
      <c r="K112" s="8">
        <f t="shared" si="39"/>
        <v>114162.92275906401</v>
      </c>
      <c r="L112" s="9" t="str">
        <f t="shared" si="40"/>
        <v/>
      </c>
      <c r="M112" s="10" t="str">
        <f t="shared" si="41"/>
        <v/>
      </c>
      <c r="N112" s="4">
        <f t="shared" si="45"/>
        <v>6384891.1465847883</v>
      </c>
      <c r="O112" s="5">
        <f t="shared" si="46"/>
        <v>0.39053254437869672</v>
      </c>
      <c r="P112" s="12"/>
      <c r="S112">
        <f t="shared" si="28"/>
        <v>-2.3499999999999943</v>
      </c>
    </row>
    <row r="113" spans="1:19" x14ac:dyDescent="0.15">
      <c r="A113" s="43">
        <v>131</v>
      </c>
      <c r="B113" s="38" t="s">
        <v>119</v>
      </c>
      <c r="C113" s="3">
        <f t="shared" si="42"/>
        <v>17.735808740513189</v>
      </c>
      <c r="D113" s="51">
        <v>42110</v>
      </c>
      <c r="E113" s="47">
        <v>172.09</v>
      </c>
      <c r="F113" s="47">
        <v>170.29</v>
      </c>
      <c r="G113" s="51">
        <v>42117</v>
      </c>
      <c r="H113" s="47">
        <v>171.45</v>
      </c>
      <c r="I113" s="47" t="s">
        <v>123</v>
      </c>
      <c r="J113" s="8" t="str">
        <f t="shared" si="38"/>
        <v/>
      </c>
      <c r="K113" s="8" t="str">
        <f t="shared" si="39"/>
        <v/>
      </c>
      <c r="L113" s="9">
        <f t="shared" si="40"/>
        <v>-64.000000000001478</v>
      </c>
      <c r="M113" s="10">
        <f t="shared" si="41"/>
        <v>-113509.17593928703</v>
      </c>
      <c r="N113" s="4">
        <f t="shared" si="45"/>
        <v>6271381.9706455013</v>
      </c>
      <c r="O113" s="5"/>
      <c r="P113" s="12"/>
      <c r="S113">
        <f t="shared" si="28"/>
        <v>-1.1599999999999966</v>
      </c>
    </row>
    <row r="114" spans="1:19" x14ac:dyDescent="0.15">
      <c r="A114" s="43">
        <v>132</v>
      </c>
      <c r="B114" s="38" t="s">
        <v>119</v>
      </c>
      <c r="C114" s="3">
        <f t="shared" ref="C114" si="48">IFERROR(ABS(N112*$L$2/(E114-F114)/10000),"")</f>
        <v>24.36981353658312</v>
      </c>
      <c r="D114" s="51">
        <v>42122</v>
      </c>
      <c r="E114" s="47">
        <v>172.57</v>
      </c>
      <c r="F114" s="47">
        <v>171.26</v>
      </c>
      <c r="G114" s="51">
        <v>42129</v>
      </c>
      <c r="H114" s="47">
        <v>171.93</v>
      </c>
      <c r="I114" s="47" t="s">
        <v>123</v>
      </c>
      <c r="J114" s="8" t="str">
        <f t="shared" si="38"/>
        <v/>
      </c>
      <c r="K114" s="8" t="str">
        <f t="shared" si="39"/>
        <v/>
      </c>
      <c r="L114" s="9">
        <f t="shared" si="40"/>
        <v>-63.999999999998636</v>
      </c>
      <c r="M114" s="10">
        <f t="shared" si="41"/>
        <v>-155966.80663412865</v>
      </c>
      <c r="N114" s="4">
        <f t="shared" si="45"/>
        <v>6115415.1640113723</v>
      </c>
      <c r="O114" s="5"/>
      <c r="P114" s="12"/>
      <c r="S114">
        <f t="shared" si="28"/>
        <v>-0.67000000000001592</v>
      </c>
    </row>
    <row r="115" spans="1:19" x14ac:dyDescent="0.15">
      <c r="A115" s="43">
        <v>133</v>
      </c>
      <c r="B115" s="38" t="s">
        <v>119</v>
      </c>
      <c r="C115" s="3">
        <f t="shared" si="42"/>
        <v>40.769434426742485</v>
      </c>
      <c r="D115" s="51">
        <v>42130</v>
      </c>
      <c r="E115" s="37">
        <v>172.94</v>
      </c>
      <c r="F115" s="37">
        <v>172.19</v>
      </c>
      <c r="G115" s="51">
        <v>42131</v>
      </c>
      <c r="H115" s="37">
        <v>172.19</v>
      </c>
      <c r="I115" s="37" t="s">
        <v>123</v>
      </c>
      <c r="J115" s="8" t="str">
        <f t="shared" si="38"/>
        <v/>
      </c>
      <c r="K115" s="8" t="str">
        <f t="shared" si="39"/>
        <v/>
      </c>
      <c r="L115" s="9">
        <f t="shared" si="40"/>
        <v>-75</v>
      </c>
      <c r="M115" s="10">
        <f t="shared" si="41"/>
        <v>-305770.75820056867</v>
      </c>
      <c r="N115" s="4">
        <f t="shared" si="45"/>
        <v>5809644.4058108032</v>
      </c>
      <c r="O115" s="5"/>
      <c r="P115" s="12"/>
      <c r="R115" s="79">
        <f>SUM(M113:M115)/N112</f>
        <v>-9.0094995759117655E-2</v>
      </c>
      <c r="S115">
        <f t="shared" si="28"/>
        <v>0</v>
      </c>
    </row>
    <row r="116" spans="1:19" x14ac:dyDescent="0.15">
      <c r="A116" s="43">
        <v>134</v>
      </c>
      <c r="B116" s="38" t="s">
        <v>120</v>
      </c>
      <c r="C116" s="3">
        <f t="shared" ref="C116" si="49">IFERROR(ABS(N114*$L$2/(E116-F116)/10000),"")</f>
        <v>30.885935171775213</v>
      </c>
      <c r="D116" s="51">
        <v>42132</v>
      </c>
      <c r="E116" s="37">
        <v>171.86</v>
      </c>
      <c r="F116" s="37">
        <v>172.85</v>
      </c>
      <c r="G116" s="51">
        <v>42145</v>
      </c>
      <c r="H116" s="37">
        <v>171.02</v>
      </c>
      <c r="I116" s="37" t="s">
        <v>122</v>
      </c>
      <c r="J116" s="8">
        <f t="shared" si="38"/>
        <v>84.000000000000341</v>
      </c>
      <c r="K116" s="8">
        <f t="shared" si="39"/>
        <v>259441.85544291284</v>
      </c>
      <c r="L116" s="9" t="str">
        <f t="shared" si="40"/>
        <v/>
      </c>
      <c r="M116" s="10" t="str">
        <f t="shared" si="41"/>
        <v/>
      </c>
      <c r="N116" s="4">
        <f t="shared" si="45"/>
        <v>6069086.2612537164</v>
      </c>
      <c r="O116" s="5">
        <f t="shared" si="46"/>
        <v>0.84848484848486849</v>
      </c>
      <c r="P116" s="12"/>
      <c r="S116">
        <f t="shared" si="28"/>
        <v>1.8299999999999841</v>
      </c>
    </row>
    <row r="117" spans="1:19" x14ac:dyDescent="0.15">
      <c r="A117" s="43">
        <v>135</v>
      </c>
      <c r="B117" s="38" t="s">
        <v>119</v>
      </c>
      <c r="C117" s="3">
        <f t="shared" si="42"/>
        <v>13.793377866485791</v>
      </c>
      <c r="D117" s="51">
        <v>42157</v>
      </c>
      <c r="E117" s="37">
        <v>171.61</v>
      </c>
      <c r="F117" s="37">
        <v>173.81</v>
      </c>
      <c r="G117" s="51">
        <v>42173</v>
      </c>
      <c r="H117" s="37">
        <v>173.43</v>
      </c>
      <c r="I117" s="37" t="s">
        <v>122</v>
      </c>
      <c r="J117" s="8">
        <f t="shared" si="38"/>
        <v>181.99999999999932</v>
      </c>
      <c r="K117" s="8">
        <f t="shared" si="39"/>
        <v>251039.47717004042</v>
      </c>
      <c r="L117" s="9" t="str">
        <f t="shared" si="40"/>
        <v/>
      </c>
      <c r="M117" s="10" t="str">
        <f t="shared" si="41"/>
        <v/>
      </c>
      <c r="N117" s="4">
        <f t="shared" si="45"/>
        <v>6320125.7384237573</v>
      </c>
      <c r="O117" s="5"/>
      <c r="P117" s="12"/>
      <c r="S117">
        <f t="shared" si="28"/>
        <v>0.37999999999999545</v>
      </c>
    </row>
    <row r="118" spans="1:19" x14ac:dyDescent="0.15">
      <c r="A118" s="43">
        <v>136</v>
      </c>
      <c r="B118" s="38" t="s">
        <v>119</v>
      </c>
      <c r="C118" s="3">
        <f t="shared" ref="C118" si="50">IFERROR(ABS(N116*$L$2/(E118-F118)/10000),"")</f>
        <v>20.784541990594807</v>
      </c>
      <c r="D118" s="51">
        <v>42167</v>
      </c>
      <c r="E118" s="37">
        <v>172.49</v>
      </c>
      <c r="F118" s="37">
        <v>171.03</v>
      </c>
      <c r="G118" s="51">
        <v>42173</v>
      </c>
      <c r="H118" s="37">
        <v>172.72</v>
      </c>
      <c r="I118" s="37" t="s">
        <v>122</v>
      </c>
      <c r="J118" s="8">
        <f t="shared" si="38"/>
        <v>22.999999999998977</v>
      </c>
      <c r="K118" s="8">
        <f t="shared" si="39"/>
        <v>47804.446578365933</v>
      </c>
      <c r="L118" s="9" t="str">
        <f t="shared" si="40"/>
        <v/>
      </c>
      <c r="M118" s="10" t="str">
        <f t="shared" si="41"/>
        <v/>
      </c>
      <c r="N118" s="4">
        <f t="shared" si="45"/>
        <v>6367930.185002123</v>
      </c>
      <c r="O118" s="5">
        <f t="shared" si="46"/>
        <v>0.1575342465753346</v>
      </c>
      <c r="P118" s="12"/>
      <c r="S118">
        <f t="shared" si="28"/>
        <v>-1.6899999999999977</v>
      </c>
    </row>
    <row r="119" spans="1:19" x14ac:dyDescent="0.15">
      <c r="A119" s="43">
        <v>137</v>
      </c>
      <c r="B119" s="38" t="s">
        <v>120</v>
      </c>
      <c r="C119" s="3">
        <f t="shared" si="42"/>
        <v>48.984078346169753</v>
      </c>
      <c r="D119" s="51">
        <v>42178</v>
      </c>
      <c r="E119" s="37">
        <v>173.16</v>
      </c>
      <c r="F119" s="37">
        <v>173.81</v>
      </c>
      <c r="G119" s="51">
        <v>42186</v>
      </c>
      <c r="H119" s="37">
        <v>173.43</v>
      </c>
      <c r="I119" s="37" t="s">
        <v>123</v>
      </c>
      <c r="J119" s="8" t="str">
        <f t="shared" si="38"/>
        <v/>
      </c>
      <c r="K119" s="8" t="str">
        <f t="shared" si="39"/>
        <v/>
      </c>
      <c r="L119" s="9">
        <f t="shared" si="40"/>
        <v>-27.000000000001023</v>
      </c>
      <c r="M119" s="10">
        <f t="shared" si="41"/>
        <v>-132257.01153466335</v>
      </c>
      <c r="N119" s="4">
        <f t="shared" si="45"/>
        <v>6235673.1734674601</v>
      </c>
      <c r="O119" s="5"/>
      <c r="P119" s="12"/>
      <c r="S119">
        <f t="shared" si="28"/>
        <v>0.37999999999999545</v>
      </c>
    </row>
    <row r="120" spans="1:19" x14ac:dyDescent="0.15">
      <c r="A120" s="43">
        <v>138</v>
      </c>
      <c r="B120" s="38" t="s">
        <v>120</v>
      </c>
      <c r="C120" s="3">
        <f t="shared" ref="C120" si="51">IFERROR(ABS(N118*$L$2/(E120-F120)/10000),"")</f>
        <v>23.584926611118579</v>
      </c>
      <c r="D120" s="51">
        <v>42195</v>
      </c>
      <c r="E120" s="37">
        <v>172.95</v>
      </c>
      <c r="F120" s="37">
        <v>174.3</v>
      </c>
      <c r="G120" s="51">
        <v>42200</v>
      </c>
      <c r="H120" s="37">
        <v>174.3</v>
      </c>
      <c r="I120" s="37" t="s">
        <v>123</v>
      </c>
      <c r="J120" s="8" t="str">
        <f t="shared" si="38"/>
        <v/>
      </c>
      <c r="K120" s="8" t="str">
        <f t="shared" si="39"/>
        <v/>
      </c>
      <c r="L120" s="9">
        <f t="shared" si="40"/>
        <v>-135.00000000000227</v>
      </c>
      <c r="M120" s="10">
        <f t="shared" si="41"/>
        <v>-318396.50925010617</v>
      </c>
      <c r="N120" s="4">
        <f t="shared" si="45"/>
        <v>5917276.6642173538</v>
      </c>
      <c r="O120" s="5"/>
      <c r="P120" s="12"/>
      <c r="S120">
        <f t="shared" si="28"/>
        <v>0</v>
      </c>
    </row>
    <row r="121" spans="1:19" x14ac:dyDescent="0.15">
      <c r="A121" s="43">
        <v>139</v>
      </c>
      <c r="B121" s="38" t="s">
        <v>120</v>
      </c>
      <c r="C121" s="3">
        <f t="shared" si="42"/>
        <v>18.376635603159656</v>
      </c>
      <c r="D121" s="51">
        <v>42222</v>
      </c>
      <c r="E121" s="37">
        <v>171.56</v>
      </c>
      <c r="F121" s="37">
        <v>173.17</v>
      </c>
      <c r="G121" s="51">
        <v>42238</v>
      </c>
      <c r="H121" s="37">
        <v>172.58</v>
      </c>
      <c r="I121" s="37" t="s">
        <v>123</v>
      </c>
      <c r="J121" s="8" t="str">
        <f t="shared" si="38"/>
        <v/>
      </c>
      <c r="K121" s="8" t="str">
        <f t="shared" si="39"/>
        <v/>
      </c>
      <c r="L121" s="9">
        <f t="shared" si="40"/>
        <v>-102.00000000000102</v>
      </c>
      <c r="M121" s="10">
        <f t="shared" si="41"/>
        <v>-187441.68315223037</v>
      </c>
      <c r="N121" s="4">
        <f t="shared" si="45"/>
        <v>5729834.9810651233</v>
      </c>
      <c r="O121" s="5"/>
      <c r="P121" t="s">
        <v>168</v>
      </c>
      <c r="Q121" s="11">
        <f>AVERAGE(O108:O124)</f>
        <v>1.6938396128107183</v>
      </c>
      <c r="S121">
        <f t="shared" si="28"/>
        <v>0.58999999999997499</v>
      </c>
    </row>
    <row r="122" spans="1:19" x14ac:dyDescent="0.15">
      <c r="A122" s="43">
        <v>140</v>
      </c>
      <c r="B122" s="38" t="s">
        <v>119</v>
      </c>
      <c r="C122" s="3">
        <f t="shared" ref="C122" si="52">IFERROR(ABS(N120*$L$2/(E122-F122)/10000),"")</f>
        <v>34.402771303588722</v>
      </c>
      <c r="D122" s="51">
        <v>42245</v>
      </c>
      <c r="E122" s="37">
        <v>172.8</v>
      </c>
      <c r="F122" s="37">
        <v>171.94</v>
      </c>
      <c r="G122" s="51">
        <v>42251</v>
      </c>
      <c r="H122" s="37">
        <v>171.94</v>
      </c>
      <c r="I122" s="37" t="s">
        <v>123</v>
      </c>
      <c r="J122" s="8" t="str">
        <f t="shared" si="38"/>
        <v/>
      </c>
      <c r="K122" s="8" t="str">
        <f t="shared" si="39"/>
        <v/>
      </c>
      <c r="L122" s="9">
        <f t="shared" si="40"/>
        <v>-86.000000000001364</v>
      </c>
      <c r="M122" s="10">
        <f t="shared" si="41"/>
        <v>-295863.83321086771</v>
      </c>
      <c r="N122" s="4">
        <f t="shared" si="45"/>
        <v>5433971.1478542555</v>
      </c>
      <c r="O122" s="5"/>
      <c r="P122" t="s">
        <v>166</v>
      </c>
      <c r="Q122" s="77">
        <f>COUNTIF(K108:K124,"&gt;0")/COUNTIF(N108:N124,"&gt;0")</f>
        <v>0.52941176470588236</v>
      </c>
      <c r="R122" s="79">
        <f>SUM(M119:M122)/N118</f>
        <v>-0.14666602962255251</v>
      </c>
      <c r="S122">
        <f t="shared" si="28"/>
        <v>0</v>
      </c>
    </row>
    <row r="123" spans="1:19" x14ac:dyDescent="0.15">
      <c r="A123" s="43">
        <v>141</v>
      </c>
      <c r="B123" s="38" t="s">
        <v>120</v>
      </c>
      <c r="C123" s="3">
        <f t="shared" si="42"/>
        <v>20.125819066126958</v>
      </c>
      <c r="D123" s="51">
        <v>42272</v>
      </c>
      <c r="E123" s="37">
        <v>177.13</v>
      </c>
      <c r="F123" s="37">
        <v>178.48</v>
      </c>
      <c r="G123" s="51">
        <v>42300</v>
      </c>
      <c r="H123" s="37">
        <v>173.05</v>
      </c>
      <c r="I123" s="37" t="s">
        <v>122</v>
      </c>
      <c r="J123" s="8">
        <f t="shared" si="38"/>
        <v>407.99999999999841</v>
      </c>
      <c r="K123" s="8">
        <f t="shared" si="39"/>
        <v>821133.4178979767</v>
      </c>
      <c r="L123" s="9" t="str">
        <f t="shared" si="40"/>
        <v/>
      </c>
      <c r="M123" s="10" t="str">
        <f t="shared" si="41"/>
        <v/>
      </c>
      <c r="N123" s="4">
        <f t="shared" si="45"/>
        <v>6255104.5657522324</v>
      </c>
      <c r="O123" s="5">
        <f t="shared" si="46"/>
        <v>3.022222222222223</v>
      </c>
      <c r="P123" t="s">
        <v>161</v>
      </c>
      <c r="Q123" s="77">
        <f>Q124/N106</f>
        <v>0.41187420189999419</v>
      </c>
      <c r="S123">
        <f t="shared" si="28"/>
        <v>5.4299999999999784</v>
      </c>
    </row>
    <row r="124" spans="1:19" x14ac:dyDescent="0.15">
      <c r="A124" s="43">
        <v>143</v>
      </c>
      <c r="B124" s="38" t="s">
        <v>119</v>
      </c>
      <c r="C124" s="3">
        <f t="shared" ref="C124" si="53">IFERROR(ABS(N122*$L$2/(E124-F124)/10000),"")</f>
        <v>13.93325935347233</v>
      </c>
      <c r="D124" s="51">
        <v>42300</v>
      </c>
      <c r="E124" s="47">
        <v>173.65</v>
      </c>
      <c r="F124" s="37">
        <v>171.7</v>
      </c>
      <c r="G124" s="51">
        <v>42347</v>
      </c>
      <c r="H124" s="37">
        <v>187.29</v>
      </c>
      <c r="I124" s="37" t="s">
        <v>122</v>
      </c>
      <c r="J124" s="8">
        <f t="shared" ref="J124" si="54">IFERROR(IF(AND(B124="売",I124="勝"),ABS(E124-H124),IF(AND(B124="買",I124="勝"),ABS(E124-H124),""))*100,"")</f>
        <v>1363.9999999999986</v>
      </c>
      <c r="K124" s="8">
        <f t="shared" ref="K124" si="55">IFERROR(IF(J124&gt;=0,J124*C124*100,""),"")</f>
        <v>1900496.5758136241</v>
      </c>
      <c r="L124" s="9" t="str">
        <f t="shared" ref="L124" si="56">IFERROR(IF(AND(B124="売",I124="負"),(E124-H124),IF(AND(B124="買",I124="負"),(H124-E124),""))*100,"")</f>
        <v/>
      </c>
      <c r="M124" s="10" t="str">
        <f t="shared" ref="M124" si="57">IFERROR(IF(L124&lt;=0,L124*C124*100,""),"")</f>
        <v/>
      </c>
      <c r="N124" s="4">
        <f t="shared" si="45"/>
        <v>8155601.1415658565</v>
      </c>
      <c r="O124" s="5">
        <f t="shared" si="46"/>
        <v>6.9948717948717265</v>
      </c>
      <c r="P124" t="s">
        <v>160</v>
      </c>
      <c r="Q124" s="71">
        <f>N124-N106</f>
        <v>2379165.0181558095</v>
      </c>
      <c r="S124">
        <f t="shared" si="28"/>
        <v>-15.590000000000003</v>
      </c>
    </row>
    <row r="125" spans="1:19" x14ac:dyDescent="0.15">
      <c r="A125" s="60"/>
      <c r="B125" s="60"/>
      <c r="C125" s="3"/>
      <c r="D125" s="59" t="s">
        <v>170</v>
      </c>
      <c r="E125" s="60"/>
      <c r="F125" s="60"/>
      <c r="H125" s="60"/>
      <c r="I125" s="60"/>
      <c r="J125" s="8"/>
      <c r="K125" s="8"/>
      <c r="L125" s="9"/>
      <c r="M125" s="10"/>
      <c r="N125" s="4"/>
      <c r="O125" s="5"/>
      <c r="P125" s="12"/>
    </row>
    <row r="126" spans="1:19" x14ac:dyDescent="0.15">
      <c r="A126" s="43">
        <v>144</v>
      </c>
      <c r="B126" s="38" t="s">
        <v>120</v>
      </c>
      <c r="C126" s="3">
        <f>IFERROR(ABS(N124*$L$2/(E126-F126)/10000),"")</f>
        <v>13.502650896632293</v>
      </c>
      <c r="D126" s="51">
        <v>42006</v>
      </c>
      <c r="E126" s="37">
        <v>184.3</v>
      </c>
      <c r="F126" s="37">
        <v>187.32</v>
      </c>
      <c r="G126" s="51">
        <v>42040</v>
      </c>
      <c r="H126" s="47">
        <v>179.42</v>
      </c>
      <c r="I126" s="47" t="s">
        <v>122</v>
      </c>
      <c r="J126" s="8">
        <f t="shared" ref="J126:J129" si="58">IFERROR(IF(AND(B126="売",I126="勝"),ABS(E126-H126),IF(AND(B126="買",I126="勝"),ABS(E126-H126),""))*100,"")</f>
        <v>488.00000000000239</v>
      </c>
      <c r="K126" s="8">
        <f t="shared" ref="K126:K128" si="59">IFERROR(IF(J126&gt;=0,J126*C126*100,""),"")</f>
        <v>658929.3637556592</v>
      </c>
      <c r="L126" s="9" t="str">
        <f t="shared" ref="L126:L129" si="60">IFERROR(IF(AND(B126="売",I126="負"),(E126-H126),IF(AND(B126="買",I126="負"),(H126-E126),""))*100,"")</f>
        <v/>
      </c>
      <c r="M126" s="10" t="str">
        <f t="shared" ref="M126:M128" si="61">IFERROR(IF(L126&lt;=0,L126*C126*100,""),"")</f>
        <v/>
      </c>
      <c r="N126" s="4">
        <f>IF(I124="ー",N124+0,IF(M126&lt;1,M126+N124,K126+N124))</f>
        <v>8814530.5053215157</v>
      </c>
      <c r="O126" s="5">
        <f t="shared" si="46"/>
        <v>1.6158940397351169</v>
      </c>
      <c r="P126" s="12"/>
      <c r="Q126" s="40"/>
      <c r="S126">
        <f t="shared" si="28"/>
        <v>7.9000000000000057</v>
      </c>
    </row>
    <row r="127" spans="1:19" x14ac:dyDescent="0.15">
      <c r="A127" s="60">
        <v>145</v>
      </c>
      <c r="B127" s="38" t="s">
        <v>119</v>
      </c>
      <c r="C127" s="3">
        <f t="shared" ref="C109:C129" si="62">IFERROR(ABS(N126*$L$2/(E127-F127)/10000),"")</f>
        <v>16.323204639484185</v>
      </c>
      <c r="D127" s="51">
        <v>42040</v>
      </c>
      <c r="E127" s="37">
        <v>180.43</v>
      </c>
      <c r="F127" s="37">
        <v>177.73</v>
      </c>
      <c r="G127" s="51">
        <v>42067</v>
      </c>
      <c r="H127" s="37">
        <v>183.53</v>
      </c>
      <c r="I127" s="37" t="s">
        <v>122</v>
      </c>
      <c r="J127" s="8">
        <f t="shared" si="58"/>
        <v>309.99999999999943</v>
      </c>
      <c r="K127" s="8">
        <f t="shared" si="59"/>
        <v>506019.34382400877</v>
      </c>
      <c r="L127" s="9" t="str">
        <f t="shared" si="60"/>
        <v/>
      </c>
      <c r="M127" s="10" t="str">
        <f t="shared" si="61"/>
        <v/>
      </c>
      <c r="N127" s="4">
        <f>IF(I127="ー",N126+0,IF(M127&lt;1,M127+N126,K127+N126))</f>
        <v>9320549.8491455242</v>
      </c>
      <c r="O127" s="5">
        <f t="shared" si="46"/>
        <v>1.1481481481481388</v>
      </c>
      <c r="S127">
        <f t="shared" si="28"/>
        <v>-5.8000000000000114</v>
      </c>
    </row>
    <row r="128" spans="1:19" x14ac:dyDescent="0.15">
      <c r="A128" s="60">
        <v>147</v>
      </c>
      <c r="B128" s="38" t="s">
        <v>119</v>
      </c>
      <c r="C128" s="3">
        <f t="shared" si="62"/>
        <v>32.818837496990916</v>
      </c>
      <c r="D128" s="51">
        <v>42115</v>
      </c>
      <c r="E128" s="60">
        <v>178.9</v>
      </c>
      <c r="F128" s="60">
        <v>177.48</v>
      </c>
      <c r="G128" s="51">
        <v>42183</v>
      </c>
      <c r="H128" s="37">
        <v>191.41</v>
      </c>
      <c r="I128" s="37" t="s">
        <v>122</v>
      </c>
      <c r="J128" s="8">
        <f t="shared" si="58"/>
        <v>1250.9999999999991</v>
      </c>
      <c r="K128" s="8">
        <f t="shared" si="59"/>
        <v>4105636.5708735604</v>
      </c>
      <c r="L128" s="9" t="str">
        <f t="shared" si="60"/>
        <v/>
      </c>
      <c r="M128" s="10" t="str">
        <f t="shared" si="61"/>
        <v/>
      </c>
      <c r="N128" s="4">
        <f>IF(I128="ー",N127+0,IF(M128&lt;1,M128+N127,K128+N127))</f>
        <v>13426186.420019085</v>
      </c>
      <c r="O128" s="5">
        <f t="shared" si="46"/>
        <v>8.8098591549294731</v>
      </c>
      <c r="S128">
        <f t="shared" si="28"/>
        <v>-13.930000000000007</v>
      </c>
    </row>
    <row r="129" spans="1:15" x14ac:dyDescent="0.15">
      <c r="A129" s="60">
        <v>151</v>
      </c>
      <c r="B129" s="38" t="s">
        <v>119</v>
      </c>
      <c r="C129" s="3">
        <f t="shared" si="62"/>
        <v>37.714006797806398</v>
      </c>
      <c r="D129" s="51">
        <v>42213</v>
      </c>
      <c r="E129" s="37">
        <v>193.23</v>
      </c>
      <c r="F129" s="37">
        <v>191.45</v>
      </c>
      <c r="G129" s="51" t="s">
        <v>171</v>
      </c>
      <c r="H129" s="37"/>
      <c r="I129" s="37"/>
      <c r="J129" s="8" t="str">
        <f t="shared" si="58"/>
        <v/>
      </c>
      <c r="K129" s="8"/>
      <c r="L129" s="9" t="str">
        <f t="shared" si="60"/>
        <v/>
      </c>
      <c r="M129" s="10"/>
      <c r="N129" s="4"/>
      <c r="O129" s="5"/>
    </row>
    <row r="130" spans="1:15" x14ac:dyDescent="0.15">
      <c r="A130" s="34"/>
      <c r="C130" s="3"/>
      <c r="E130" s="37"/>
      <c r="F130" s="37"/>
      <c r="H130" s="37"/>
      <c r="I130" s="37"/>
      <c r="J130" s="8"/>
      <c r="K130" s="8"/>
      <c r="L130" s="9"/>
      <c r="M130" s="10"/>
      <c r="N130" s="4"/>
      <c r="O130" s="5"/>
    </row>
    <row r="131" spans="1:15" x14ac:dyDescent="0.15">
      <c r="A131" s="34"/>
      <c r="C131" s="3"/>
      <c r="E131" s="37"/>
      <c r="F131" s="37"/>
      <c r="H131" s="37"/>
      <c r="I131" s="37"/>
      <c r="J131" s="8"/>
      <c r="K131" s="8"/>
      <c r="L131" s="9"/>
      <c r="M131" s="10"/>
      <c r="N131" s="4"/>
      <c r="O131" s="5"/>
    </row>
    <row r="132" spans="1:15" x14ac:dyDescent="0.15">
      <c r="A132" s="34"/>
      <c r="C132" s="3"/>
      <c r="E132" s="37"/>
      <c r="F132" s="37"/>
      <c r="H132" s="37"/>
      <c r="I132" s="37"/>
      <c r="J132" s="8"/>
      <c r="K132" s="8"/>
      <c r="L132" s="9"/>
      <c r="M132" s="10"/>
      <c r="N132" s="4"/>
      <c r="O132" s="5"/>
    </row>
    <row r="133" spans="1:15" x14ac:dyDescent="0.15">
      <c r="A133" s="34"/>
      <c r="C133" s="3"/>
      <c r="E133" s="37"/>
      <c r="F133" s="37"/>
      <c r="H133" s="37"/>
      <c r="I133" s="37"/>
      <c r="J133" s="8"/>
      <c r="K133" s="8"/>
      <c r="L133" s="9"/>
      <c r="M133" s="10"/>
      <c r="N133" s="4"/>
      <c r="O133" s="5"/>
    </row>
    <row r="134" spans="1:15" x14ac:dyDescent="0.15">
      <c r="A134" s="34"/>
      <c r="C134" s="3"/>
      <c r="E134" s="37"/>
      <c r="F134" s="37"/>
      <c r="H134" s="37"/>
      <c r="I134" s="37"/>
      <c r="J134" s="8"/>
      <c r="K134" s="8"/>
      <c r="L134" s="9"/>
      <c r="M134" s="10"/>
      <c r="N134" s="4"/>
      <c r="O134" s="5"/>
    </row>
    <row r="135" spans="1:15" x14ac:dyDescent="0.15">
      <c r="A135" s="34"/>
      <c r="C135" s="3"/>
      <c r="E135" s="37"/>
      <c r="F135" s="37"/>
      <c r="H135" s="37"/>
      <c r="I135" s="37"/>
      <c r="J135" s="8"/>
      <c r="K135" s="8"/>
      <c r="L135" s="9"/>
      <c r="M135" s="10"/>
      <c r="N135" s="4"/>
      <c r="O135" s="5"/>
    </row>
    <row r="136" spans="1:15" x14ac:dyDescent="0.15">
      <c r="A136" s="34"/>
      <c r="C136" s="3"/>
      <c r="E136" s="37"/>
      <c r="F136" s="37"/>
      <c r="H136" s="37"/>
      <c r="I136" s="37"/>
      <c r="J136" s="8"/>
      <c r="K136" s="8"/>
      <c r="L136" s="9"/>
      <c r="M136" s="10"/>
      <c r="N136" s="4"/>
      <c r="O136" s="5"/>
    </row>
    <row r="137" spans="1:15" x14ac:dyDescent="0.15">
      <c r="A137" s="34"/>
      <c r="C137" s="3"/>
      <c r="E137" s="37"/>
      <c r="F137" s="37"/>
      <c r="H137" s="37"/>
      <c r="I137" s="37"/>
      <c r="J137" s="8"/>
      <c r="K137" s="8"/>
      <c r="L137" s="9"/>
      <c r="M137" s="10"/>
      <c r="N137" s="4"/>
      <c r="O137" s="5"/>
    </row>
    <row r="138" spans="1:15" x14ac:dyDescent="0.15">
      <c r="A138" s="34"/>
      <c r="C138" s="3"/>
      <c r="E138" s="37"/>
      <c r="F138" s="37"/>
      <c r="H138" s="37"/>
      <c r="I138" s="37"/>
      <c r="J138" s="8"/>
      <c r="K138" s="8"/>
      <c r="L138" s="9"/>
      <c r="M138" s="10"/>
      <c r="N138" s="4"/>
      <c r="O138" s="5"/>
    </row>
    <row r="139" spans="1:15" x14ac:dyDescent="0.15">
      <c r="A139" s="34"/>
      <c r="C139" s="3"/>
      <c r="E139" s="37"/>
      <c r="F139" s="37"/>
      <c r="H139" s="37"/>
      <c r="I139" s="37"/>
      <c r="J139" s="8"/>
      <c r="K139" s="8"/>
      <c r="L139" s="9"/>
      <c r="M139" s="10"/>
      <c r="N139" s="4"/>
      <c r="O139" s="5"/>
    </row>
    <row r="140" spans="1:15" x14ac:dyDescent="0.15">
      <c r="A140" s="34"/>
      <c r="C140" s="3"/>
      <c r="E140" s="37"/>
      <c r="F140" s="37"/>
      <c r="H140" s="37"/>
      <c r="I140" s="37"/>
      <c r="J140" s="8"/>
      <c r="K140" s="8"/>
      <c r="L140" s="9"/>
      <c r="M140" s="10"/>
      <c r="N140" s="4"/>
      <c r="O140" s="5"/>
    </row>
    <row r="141" spans="1:15" x14ac:dyDescent="0.15">
      <c r="A141" s="34"/>
      <c r="C141" s="3"/>
      <c r="E141" s="37"/>
      <c r="F141" s="37"/>
      <c r="H141" s="37"/>
      <c r="I141" s="37"/>
      <c r="J141" s="8"/>
      <c r="K141" s="8"/>
      <c r="L141" s="9"/>
      <c r="M141" s="10"/>
      <c r="N141" s="4"/>
      <c r="O141" s="5"/>
    </row>
    <row r="142" spans="1:15" x14ac:dyDescent="0.15">
      <c r="A142" s="34"/>
      <c r="C142" s="3"/>
      <c r="E142" s="37"/>
      <c r="F142" s="37"/>
      <c r="H142" s="37"/>
      <c r="I142" s="37"/>
      <c r="J142" s="8"/>
      <c r="K142" s="8"/>
      <c r="L142" s="9"/>
      <c r="M142" s="10"/>
      <c r="N142" s="4"/>
      <c r="O142" s="5"/>
    </row>
    <row r="143" spans="1:15" x14ac:dyDescent="0.15">
      <c r="A143" s="34"/>
      <c r="C143" s="3"/>
      <c r="E143" s="37"/>
      <c r="F143" s="37"/>
      <c r="H143" s="37"/>
      <c r="I143" s="37"/>
      <c r="J143" s="8"/>
      <c r="K143" s="8"/>
      <c r="L143" s="9"/>
      <c r="M143" s="10"/>
      <c r="N143" s="4"/>
      <c r="O143" s="5"/>
    </row>
    <row r="144" spans="1:15" x14ac:dyDescent="0.15">
      <c r="A144" s="34"/>
      <c r="C144" s="3"/>
      <c r="E144" s="37"/>
      <c r="F144" s="37"/>
      <c r="H144" s="37"/>
      <c r="I144" s="37"/>
      <c r="J144" s="8"/>
      <c r="K144" s="8"/>
      <c r="L144" s="9"/>
      <c r="M144" s="10"/>
      <c r="N144" s="4"/>
      <c r="O144" s="5"/>
    </row>
    <row r="145" spans="1:15" x14ac:dyDescent="0.15">
      <c r="A145" s="34"/>
      <c r="C145" s="3"/>
      <c r="E145" s="37"/>
      <c r="F145" s="37"/>
      <c r="H145" s="37"/>
      <c r="I145" s="37"/>
      <c r="J145" s="8"/>
      <c r="K145" s="8"/>
      <c r="L145" s="9"/>
      <c r="M145" s="10"/>
      <c r="N145" s="4"/>
      <c r="O145" s="5"/>
    </row>
    <row r="146" spans="1:15" x14ac:dyDescent="0.15">
      <c r="A146" s="34"/>
      <c r="C146" s="3"/>
      <c r="E146" s="37"/>
      <c r="F146" s="37"/>
      <c r="H146" s="37"/>
      <c r="I146" s="37"/>
      <c r="J146" s="8"/>
      <c r="K146" s="8"/>
      <c r="L146" s="9"/>
      <c r="M146" s="10"/>
      <c r="N146" s="4"/>
      <c r="O146" s="5"/>
    </row>
    <row r="147" spans="1:15" x14ac:dyDescent="0.15">
      <c r="A147" s="34"/>
      <c r="C147" s="3"/>
      <c r="E147" s="37"/>
      <c r="F147" s="37"/>
      <c r="H147" s="37"/>
      <c r="I147" s="37"/>
      <c r="J147" s="8"/>
      <c r="K147" s="8"/>
      <c r="L147" s="9"/>
      <c r="M147" s="10"/>
      <c r="N147" s="4"/>
      <c r="O147" s="5"/>
    </row>
    <row r="148" spans="1:15" x14ac:dyDescent="0.15">
      <c r="A148" s="34"/>
      <c r="C148" s="3"/>
      <c r="E148" s="37"/>
      <c r="F148" s="37"/>
      <c r="H148" s="37"/>
      <c r="I148" s="37"/>
      <c r="J148" s="8"/>
      <c r="K148" s="8"/>
      <c r="L148" s="9"/>
      <c r="M148" s="10"/>
      <c r="N148" s="4"/>
      <c r="O148" s="5"/>
    </row>
    <row r="149" spans="1:15" x14ac:dyDescent="0.15">
      <c r="A149" s="34"/>
      <c r="C149" s="3"/>
      <c r="E149" s="37"/>
      <c r="F149" s="37"/>
      <c r="H149" s="37"/>
      <c r="I149" s="37"/>
      <c r="J149" s="8"/>
      <c r="K149" s="8"/>
      <c r="L149" s="9"/>
      <c r="M149" s="10"/>
      <c r="N149" s="4"/>
      <c r="O149" s="5"/>
    </row>
    <row r="150" spans="1:15" x14ac:dyDescent="0.15">
      <c r="A150" s="34"/>
      <c r="C150" s="3"/>
      <c r="E150" s="37"/>
      <c r="F150" s="37"/>
      <c r="H150" s="37"/>
      <c r="I150" s="37"/>
      <c r="J150" s="8"/>
      <c r="K150" s="8"/>
      <c r="L150" s="9"/>
      <c r="M150" s="10"/>
      <c r="N150" s="4"/>
      <c r="O150" s="5"/>
    </row>
    <row r="151" spans="1:15" x14ac:dyDescent="0.15">
      <c r="A151" s="34"/>
      <c r="C151" s="3"/>
      <c r="E151" s="37"/>
      <c r="F151" s="37"/>
      <c r="H151" s="37"/>
      <c r="I151" s="37"/>
      <c r="J151" s="8"/>
      <c r="K151" s="8"/>
      <c r="L151" s="9"/>
      <c r="M151" s="10"/>
      <c r="N151" s="4"/>
      <c r="O151" s="5"/>
    </row>
    <row r="152" spans="1:15" x14ac:dyDescent="0.15">
      <c r="A152" s="34"/>
      <c r="C152" s="3"/>
      <c r="E152" s="37"/>
      <c r="F152" s="37"/>
      <c r="H152" s="37"/>
      <c r="I152" s="37"/>
      <c r="J152" s="8"/>
      <c r="K152" s="8"/>
      <c r="L152" s="9"/>
      <c r="M152" s="10"/>
      <c r="N152" s="4"/>
      <c r="O152" s="5"/>
    </row>
    <row r="153" spans="1:15" x14ac:dyDescent="0.15">
      <c r="A153" s="34"/>
      <c r="C153" s="3"/>
      <c r="E153" s="37"/>
      <c r="F153" s="37"/>
      <c r="H153" s="37"/>
      <c r="I153" s="37"/>
      <c r="J153" s="8"/>
      <c r="K153" s="8"/>
      <c r="L153" s="9"/>
      <c r="M153" s="10"/>
      <c r="N153" s="4"/>
      <c r="O153" s="5"/>
    </row>
    <row r="154" spans="1:15" x14ac:dyDescent="0.15">
      <c r="A154" s="34"/>
      <c r="C154" s="3"/>
      <c r="E154" s="37"/>
      <c r="F154" s="37"/>
      <c r="H154" s="37"/>
      <c r="I154" s="37"/>
      <c r="J154" s="8"/>
      <c r="K154" s="8"/>
      <c r="L154" s="9"/>
      <c r="M154" s="10"/>
      <c r="N154" s="4"/>
      <c r="O154" s="5"/>
    </row>
    <row r="155" spans="1:15" x14ac:dyDescent="0.15">
      <c r="A155" s="34"/>
      <c r="C155" s="3"/>
      <c r="E155" s="37"/>
      <c r="F155" s="37"/>
      <c r="H155" s="37"/>
      <c r="I155" s="37"/>
      <c r="J155" s="8"/>
      <c r="K155" s="8"/>
      <c r="L155" s="9"/>
      <c r="M155" s="10"/>
      <c r="N155" s="4"/>
      <c r="O155" s="5"/>
    </row>
    <row r="156" spans="1:15" x14ac:dyDescent="0.15">
      <c r="A156" s="34"/>
      <c r="C156" s="3"/>
      <c r="D156" s="59"/>
      <c r="E156" s="37"/>
      <c r="F156" s="37"/>
      <c r="H156" s="37"/>
      <c r="I156" s="37"/>
      <c r="J156" s="8"/>
      <c r="K156" s="8"/>
      <c r="L156" s="9"/>
      <c r="M156" s="10"/>
      <c r="N156" s="4"/>
      <c r="O156" s="5"/>
    </row>
    <row r="157" spans="1:15" x14ac:dyDescent="0.15">
      <c r="A157" s="37"/>
      <c r="C157" s="3"/>
      <c r="E157" s="37"/>
      <c r="F157" s="37"/>
      <c r="H157" s="37"/>
      <c r="I157" s="37"/>
      <c r="J157" s="8"/>
      <c r="K157" s="8"/>
      <c r="L157" s="9"/>
      <c r="M157" s="10"/>
      <c r="N157" s="4"/>
      <c r="O157" s="5"/>
    </row>
    <row r="158" spans="1:15" x14ac:dyDescent="0.15">
      <c r="A158" s="34"/>
      <c r="C158" s="3"/>
      <c r="E158" s="37"/>
      <c r="F158" s="37"/>
      <c r="H158" s="37"/>
      <c r="I158" s="37"/>
      <c r="J158" s="8"/>
      <c r="K158" s="8"/>
      <c r="L158" s="9"/>
      <c r="M158" s="10"/>
      <c r="N158" s="4"/>
      <c r="O158" s="5"/>
    </row>
    <row r="159" spans="1:15" x14ac:dyDescent="0.15">
      <c r="A159" s="34"/>
      <c r="C159" s="3"/>
      <c r="E159" s="37"/>
      <c r="F159" s="37"/>
      <c r="H159" s="37"/>
      <c r="I159" s="37"/>
      <c r="J159" s="8"/>
      <c r="K159" s="8"/>
      <c r="L159" s="9"/>
      <c r="M159" s="10"/>
      <c r="N159" s="4"/>
      <c r="O159" s="5"/>
    </row>
    <row r="160" spans="1:15" x14ac:dyDescent="0.15">
      <c r="A160" s="34"/>
      <c r="C160" s="3"/>
      <c r="E160" s="37"/>
      <c r="F160" s="37"/>
      <c r="H160" s="37"/>
      <c r="I160" s="37"/>
      <c r="J160" s="8"/>
      <c r="K160" s="8"/>
      <c r="L160" s="9"/>
      <c r="M160" s="10"/>
      <c r="N160" s="4"/>
      <c r="O160" s="5"/>
    </row>
    <row r="161" spans="1:15" x14ac:dyDescent="0.15">
      <c r="A161" s="34"/>
      <c r="C161" s="3"/>
      <c r="E161" s="37"/>
      <c r="F161" s="37"/>
      <c r="H161" s="37"/>
      <c r="I161" s="37"/>
      <c r="J161" s="8"/>
      <c r="K161" s="8"/>
      <c r="L161" s="9"/>
      <c r="M161" s="10"/>
      <c r="N161" s="4"/>
      <c r="O161" s="5"/>
    </row>
    <row r="162" spans="1:15" x14ac:dyDescent="0.15">
      <c r="A162" s="34"/>
      <c r="C162" s="3"/>
      <c r="E162" s="37"/>
      <c r="F162" s="37"/>
      <c r="H162" s="37"/>
      <c r="I162" s="37"/>
      <c r="J162" s="8"/>
      <c r="K162" s="8"/>
      <c r="L162" s="9"/>
      <c r="M162" s="10"/>
      <c r="N162" s="4"/>
      <c r="O162" s="5"/>
    </row>
    <row r="163" spans="1:15" x14ac:dyDescent="0.15">
      <c r="A163" s="34"/>
      <c r="C163" s="3"/>
      <c r="E163" s="37"/>
      <c r="F163" s="37"/>
      <c r="H163" s="37"/>
      <c r="I163" s="37"/>
      <c r="J163" s="8"/>
      <c r="K163" s="8"/>
      <c r="L163" s="9"/>
      <c r="M163" s="10"/>
      <c r="N163" s="4"/>
      <c r="O163" s="5"/>
    </row>
    <row r="164" spans="1:15" x14ac:dyDescent="0.15">
      <c r="A164" s="34"/>
      <c r="C164" s="3"/>
      <c r="E164" s="37"/>
      <c r="F164" s="37"/>
      <c r="H164" s="37"/>
      <c r="I164" s="37"/>
      <c r="J164" s="8"/>
      <c r="K164" s="8"/>
      <c r="L164" s="9"/>
      <c r="M164" s="10"/>
      <c r="N164" s="4"/>
      <c r="O164" s="5"/>
    </row>
    <row r="165" spans="1:15" x14ac:dyDescent="0.15">
      <c r="A165" s="34"/>
      <c r="C165" s="3"/>
      <c r="E165" s="37"/>
      <c r="F165" s="37"/>
      <c r="H165" s="37"/>
      <c r="I165" s="37"/>
      <c r="J165" s="8"/>
      <c r="K165" s="8"/>
      <c r="L165" s="9"/>
      <c r="M165" s="10"/>
      <c r="N165" s="4"/>
      <c r="O165" s="5"/>
    </row>
    <row r="166" spans="1:15" x14ac:dyDescent="0.15">
      <c r="A166" s="34"/>
      <c r="C166" s="3"/>
      <c r="E166" s="37"/>
      <c r="F166" s="37"/>
      <c r="H166" s="37"/>
      <c r="I166" s="37"/>
      <c r="J166" s="8"/>
      <c r="K166" s="8"/>
      <c r="L166" s="9"/>
      <c r="M166" s="10"/>
      <c r="N166" s="4"/>
      <c r="O166" s="5"/>
    </row>
    <row r="167" spans="1:15" x14ac:dyDescent="0.15">
      <c r="A167" s="34"/>
      <c r="C167" s="3"/>
      <c r="E167" s="37"/>
      <c r="F167" s="37"/>
      <c r="H167" s="37"/>
      <c r="I167" s="37"/>
      <c r="J167" s="8"/>
      <c r="K167" s="8"/>
      <c r="L167" s="9"/>
      <c r="M167" s="10"/>
      <c r="N167" s="4"/>
      <c r="O167" s="5"/>
    </row>
    <row r="168" spans="1:15" x14ac:dyDescent="0.15">
      <c r="A168" s="34"/>
      <c r="C168" s="3"/>
      <c r="E168" s="37"/>
      <c r="F168" s="37"/>
      <c r="H168" s="37"/>
      <c r="I168" s="37"/>
      <c r="J168" s="8"/>
      <c r="K168" s="8"/>
      <c r="L168" s="9"/>
      <c r="M168" s="10"/>
      <c r="N168" s="4"/>
      <c r="O168" s="5"/>
    </row>
    <row r="169" spans="1:15" x14ac:dyDescent="0.15">
      <c r="A169" s="34"/>
      <c r="C169" s="3"/>
      <c r="E169" s="37"/>
      <c r="F169" s="37"/>
      <c r="H169" s="37"/>
      <c r="I169" s="37"/>
      <c r="J169" s="8"/>
      <c r="K169" s="8"/>
      <c r="L169" s="9"/>
      <c r="M169" s="10"/>
      <c r="N169" s="4"/>
      <c r="O169" s="5"/>
    </row>
    <row r="170" spans="1:15" x14ac:dyDescent="0.15">
      <c r="A170" s="34"/>
      <c r="C170" s="3"/>
      <c r="E170" s="37"/>
      <c r="F170" s="37"/>
      <c r="H170" s="37"/>
      <c r="I170" s="37"/>
      <c r="J170" s="8"/>
      <c r="K170" s="8"/>
      <c r="L170" s="9"/>
      <c r="M170" s="10"/>
      <c r="N170" s="4"/>
      <c r="O170" s="5"/>
    </row>
    <row r="171" spans="1:15" x14ac:dyDescent="0.15">
      <c r="A171" s="34"/>
      <c r="C171" s="3"/>
      <c r="E171" s="37"/>
      <c r="F171" s="37"/>
      <c r="H171" s="37"/>
      <c r="I171" s="37"/>
      <c r="J171" s="8"/>
      <c r="K171" s="8"/>
      <c r="L171" s="9"/>
      <c r="M171" s="10"/>
      <c r="N171" s="4"/>
      <c r="O171" s="5"/>
    </row>
    <row r="172" spans="1:15" x14ac:dyDescent="0.15">
      <c r="A172" s="34"/>
      <c r="C172" s="3"/>
      <c r="E172" s="37"/>
      <c r="F172" s="37"/>
      <c r="H172" s="37"/>
      <c r="I172" s="37"/>
      <c r="J172" s="8"/>
      <c r="K172" s="8"/>
      <c r="L172" s="9"/>
      <c r="M172" s="10"/>
      <c r="N172" s="4"/>
      <c r="O172" s="5"/>
    </row>
    <row r="173" spans="1:15" x14ac:dyDescent="0.15">
      <c r="A173" s="34"/>
      <c r="C173" s="3"/>
      <c r="E173" s="37"/>
      <c r="F173" s="37"/>
      <c r="H173" s="37"/>
      <c r="I173" s="37"/>
      <c r="J173" s="8"/>
      <c r="K173" s="8"/>
      <c r="L173" s="9"/>
      <c r="M173" s="10"/>
      <c r="N173" s="4"/>
      <c r="O173" s="5"/>
    </row>
    <row r="174" spans="1:15" x14ac:dyDescent="0.15">
      <c r="A174" s="34"/>
      <c r="C174" s="3"/>
      <c r="E174" s="37"/>
      <c r="F174" s="37"/>
      <c r="H174" s="37"/>
      <c r="I174" s="37"/>
      <c r="J174" s="8"/>
      <c r="K174" s="8"/>
      <c r="L174" s="9"/>
      <c r="M174" s="10"/>
      <c r="N174" s="4"/>
      <c r="O174" s="5"/>
    </row>
    <row r="175" spans="1:15" x14ac:dyDescent="0.15">
      <c r="A175" s="34"/>
      <c r="C175" s="3"/>
      <c r="E175" s="37"/>
      <c r="F175" s="37"/>
      <c r="H175" s="37"/>
      <c r="I175" s="37"/>
      <c r="J175" s="8"/>
      <c r="K175" s="8"/>
      <c r="L175" s="9"/>
      <c r="M175" s="10"/>
      <c r="N175" s="4"/>
      <c r="O175" s="5"/>
    </row>
    <row r="176" spans="1:15" x14ac:dyDescent="0.15">
      <c r="A176" s="34"/>
      <c r="C176" s="3"/>
      <c r="E176" s="37"/>
      <c r="F176" s="37"/>
      <c r="H176" s="37"/>
      <c r="I176" s="37"/>
      <c r="J176" s="8"/>
      <c r="K176" s="8"/>
      <c r="L176" s="9"/>
      <c r="M176" s="10"/>
      <c r="N176" s="4"/>
      <c r="O176" s="5"/>
    </row>
    <row r="177" spans="1:15" x14ac:dyDescent="0.15">
      <c r="A177" s="34"/>
      <c r="C177" s="3"/>
      <c r="E177" s="37"/>
      <c r="F177" s="37"/>
      <c r="H177" s="37"/>
      <c r="I177" s="37"/>
      <c r="J177" s="8"/>
      <c r="K177" s="8"/>
      <c r="L177" s="9"/>
      <c r="M177" s="10"/>
      <c r="N177" s="4"/>
      <c r="O177" s="5"/>
    </row>
    <row r="178" spans="1:15" x14ac:dyDescent="0.15">
      <c r="A178" s="34"/>
      <c r="C178" s="3"/>
      <c r="E178" s="37"/>
      <c r="F178" s="37"/>
      <c r="H178" s="37"/>
      <c r="I178" s="37"/>
      <c r="J178" s="8"/>
      <c r="K178" s="8"/>
      <c r="L178" s="9"/>
      <c r="M178" s="10"/>
      <c r="N178" s="4"/>
      <c r="O178" s="5"/>
    </row>
    <row r="179" spans="1:15" x14ac:dyDescent="0.15">
      <c r="A179" s="34"/>
      <c r="C179" s="3"/>
      <c r="E179" s="37"/>
      <c r="F179" s="37"/>
      <c r="H179" s="37"/>
      <c r="I179" s="37"/>
      <c r="J179" s="8"/>
      <c r="K179" s="8"/>
      <c r="L179" s="9"/>
      <c r="M179" s="10"/>
      <c r="N179" s="4"/>
      <c r="O179" s="5"/>
    </row>
    <row r="180" spans="1:15" x14ac:dyDescent="0.15">
      <c r="A180" s="34"/>
      <c r="C180" s="3"/>
      <c r="E180" s="37"/>
      <c r="F180" s="37"/>
      <c r="H180" s="37"/>
      <c r="I180" s="37"/>
      <c r="J180" s="8"/>
      <c r="K180" s="8"/>
      <c r="L180" s="9"/>
      <c r="M180" s="10"/>
      <c r="N180" s="4"/>
      <c r="O180" s="5"/>
    </row>
    <row r="181" spans="1:15" x14ac:dyDescent="0.15">
      <c r="A181" s="34"/>
      <c r="C181" s="3"/>
      <c r="E181" s="37"/>
      <c r="F181" s="37"/>
      <c r="H181" s="37"/>
      <c r="I181" s="37"/>
      <c r="J181" s="8"/>
      <c r="K181" s="8"/>
      <c r="L181" s="9"/>
      <c r="M181" s="10"/>
      <c r="N181" s="4"/>
      <c r="O181" s="5"/>
    </row>
    <row r="182" spans="1:15" x14ac:dyDescent="0.15">
      <c r="A182" s="34"/>
      <c r="C182" s="3"/>
      <c r="D182" s="59"/>
      <c r="E182" s="37"/>
      <c r="F182" s="37"/>
      <c r="H182" s="37"/>
      <c r="I182" s="37"/>
      <c r="J182" s="8"/>
      <c r="K182" s="8"/>
      <c r="L182" s="9"/>
      <c r="M182" s="10"/>
      <c r="N182" s="4"/>
      <c r="O182" s="5"/>
    </row>
    <row r="183" spans="1:15" x14ac:dyDescent="0.15">
      <c r="A183" s="37"/>
      <c r="C183" s="3"/>
      <c r="E183" s="37"/>
      <c r="F183" s="37"/>
      <c r="H183" s="37"/>
      <c r="I183" s="37"/>
      <c r="J183" s="8"/>
      <c r="K183" s="8"/>
      <c r="L183" s="9"/>
      <c r="M183" s="10"/>
      <c r="N183" s="4"/>
      <c r="O183" s="5"/>
    </row>
    <row r="184" spans="1:15" x14ac:dyDescent="0.15">
      <c r="A184" s="34"/>
      <c r="C184" s="3"/>
      <c r="E184" s="37"/>
      <c r="F184" s="37"/>
      <c r="H184" s="37"/>
      <c r="I184" s="37"/>
      <c r="J184" s="8"/>
      <c r="K184" s="8"/>
      <c r="L184" s="9"/>
      <c r="M184" s="10"/>
      <c r="N184" s="4"/>
      <c r="O184" s="5"/>
    </row>
    <row r="185" spans="1:15" x14ac:dyDescent="0.15">
      <c r="A185" s="34"/>
      <c r="C185" s="3"/>
      <c r="E185" s="37"/>
      <c r="F185" s="37"/>
      <c r="H185" s="37"/>
      <c r="I185" s="37"/>
      <c r="J185" s="8"/>
      <c r="K185" s="8"/>
      <c r="L185" s="9"/>
      <c r="M185" s="10"/>
      <c r="N185" s="4"/>
      <c r="O185" s="5"/>
    </row>
    <row r="186" spans="1:15" x14ac:dyDescent="0.15">
      <c r="A186" s="34"/>
      <c r="C186" s="3"/>
      <c r="E186" s="37"/>
      <c r="F186" s="37"/>
      <c r="H186" s="37"/>
      <c r="I186" s="37"/>
      <c r="J186" s="8"/>
      <c r="K186" s="8"/>
      <c r="L186" s="9"/>
      <c r="M186" s="10"/>
      <c r="N186" s="4"/>
      <c r="O186" s="5"/>
    </row>
    <row r="187" spans="1:15" x14ac:dyDescent="0.15">
      <c r="A187" s="34"/>
      <c r="C187" s="3"/>
      <c r="E187" s="37"/>
      <c r="F187" s="37"/>
      <c r="H187" s="37"/>
      <c r="I187" s="37"/>
      <c r="J187" s="8"/>
      <c r="K187" s="8"/>
      <c r="L187" s="9"/>
      <c r="M187" s="10"/>
      <c r="N187" s="4"/>
      <c r="O187" s="5"/>
    </row>
    <row r="188" spans="1:15" x14ac:dyDescent="0.15">
      <c r="A188" s="37"/>
      <c r="C188" s="3"/>
      <c r="J188" s="8"/>
      <c r="K188" s="8"/>
      <c r="L188" s="9"/>
      <c r="M188" s="10"/>
      <c r="N188" s="4"/>
      <c r="O188" s="5"/>
    </row>
    <row r="189" spans="1:15" x14ac:dyDescent="0.15">
      <c r="A189" s="37"/>
      <c r="C189" s="3"/>
      <c r="J189" s="8"/>
      <c r="K189" s="8"/>
      <c r="L189" s="9"/>
      <c r="M189" s="10"/>
      <c r="N189" s="4"/>
      <c r="O189" s="5"/>
    </row>
    <row r="190" spans="1:15" x14ac:dyDescent="0.15">
      <c r="A190" s="37"/>
      <c r="C190" s="3"/>
      <c r="J190" s="8"/>
      <c r="K190" s="8"/>
      <c r="L190" s="9"/>
      <c r="M190" s="10"/>
      <c r="N190" s="4"/>
      <c r="O190" s="5"/>
    </row>
    <row r="191" spans="1:15" x14ac:dyDescent="0.15">
      <c r="A191" s="37"/>
      <c r="C191" s="3"/>
      <c r="J191" s="8"/>
      <c r="K191" s="8"/>
      <c r="L191" s="9"/>
      <c r="M191" s="10"/>
      <c r="N191" s="4"/>
      <c r="O191" s="5"/>
    </row>
    <row r="192" spans="1:15" x14ac:dyDescent="0.15">
      <c r="A192" s="37"/>
      <c r="C192" s="3"/>
      <c r="J192" s="8"/>
      <c r="K192" s="8"/>
      <c r="L192" s="9"/>
      <c r="M192" s="10"/>
      <c r="N192" s="4"/>
      <c r="O192" s="5"/>
    </row>
    <row r="193" spans="1:15" x14ac:dyDescent="0.15">
      <c r="A193" s="37"/>
      <c r="C193" s="3"/>
      <c r="J193" s="8"/>
      <c r="K193" s="8"/>
      <c r="L193" s="9"/>
      <c r="M193" s="10"/>
      <c r="N193" s="4"/>
      <c r="O193" s="5"/>
    </row>
    <row r="194" spans="1:15" x14ac:dyDescent="0.15">
      <c r="A194" s="37"/>
      <c r="C194" s="3"/>
      <c r="J194" s="8"/>
      <c r="K194" s="8"/>
      <c r="L194" s="9"/>
      <c r="M194" s="10"/>
      <c r="N194" s="4"/>
      <c r="O194" s="5"/>
    </row>
    <row r="195" spans="1:15" x14ac:dyDescent="0.15">
      <c r="A195" s="37"/>
      <c r="C195" s="3"/>
      <c r="J195" s="8"/>
      <c r="K195" s="8"/>
      <c r="L195" s="9"/>
      <c r="M195" s="10"/>
      <c r="N195" s="4"/>
      <c r="O195" s="5"/>
    </row>
    <row r="196" spans="1:15" x14ac:dyDescent="0.15">
      <c r="A196" s="37"/>
      <c r="C196" s="3"/>
      <c r="J196" s="8"/>
      <c r="K196" s="8"/>
      <c r="L196" s="9"/>
      <c r="M196" s="10"/>
      <c r="N196" s="4"/>
      <c r="O196" s="5"/>
    </row>
    <row r="197" spans="1:15" x14ac:dyDescent="0.15">
      <c r="A197" s="37"/>
      <c r="C197" s="3"/>
      <c r="J197" s="8"/>
      <c r="K197" s="8"/>
      <c r="L197" s="9"/>
      <c r="M197" s="10"/>
      <c r="N197" s="4"/>
      <c r="O197" s="5"/>
    </row>
    <row r="198" spans="1:15" x14ac:dyDescent="0.15">
      <c r="A198" s="37"/>
      <c r="C198" s="3"/>
      <c r="J198" s="8"/>
      <c r="K198" s="8"/>
      <c r="L198" s="9"/>
      <c r="M198" s="10"/>
      <c r="N198" s="4"/>
      <c r="O198" s="5"/>
    </row>
    <row r="199" spans="1:15" x14ac:dyDescent="0.15">
      <c r="A199" s="37"/>
      <c r="C199" s="3"/>
      <c r="J199" s="8"/>
      <c r="K199" s="8"/>
      <c r="L199" s="9"/>
      <c r="M199" s="10"/>
      <c r="N199" s="4"/>
      <c r="O199" s="5"/>
    </row>
    <row r="200" spans="1:15" x14ac:dyDescent="0.15">
      <c r="A200" s="37"/>
      <c r="C200" s="3"/>
      <c r="J200" s="8"/>
      <c r="K200" s="8"/>
      <c r="L200" s="9"/>
      <c r="M200" s="10"/>
      <c r="N200" s="4"/>
      <c r="O200" s="5"/>
    </row>
    <row r="201" spans="1:15" x14ac:dyDescent="0.15">
      <c r="A201" s="37"/>
      <c r="C201" s="3"/>
      <c r="J201" s="8"/>
      <c r="K201" s="8"/>
      <c r="L201" s="9"/>
      <c r="M201" s="10"/>
      <c r="N201" s="4"/>
      <c r="O201" s="5"/>
    </row>
    <row r="202" spans="1:15" x14ac:dyDescent="0.15">
      <c r="A202" s="37"/>
      <c r="C202" s="3"/>
      <c r="J202" s="8"/>
      <c r="K202" s="8"/>
      <c r="L202" s="9"/>
      <c r="M202" s="10"/>
      <c r="N202" s="4"/>
      <c r="O202" s="5"/>
    </row>
    <row r="203" spans="1:15" x14ac:dyDescent="0.15">
      <c r="A203" s="37"/>
      <c r="C203" s="3"/>
      <c r="J203" s="8"/>
      <c r="K203" s="8"/>
      <c r="L203" s="9"/>
      <c r="M203" s="10"/>
      <c r="N203" s="4"/>
      <c r="O203" s="5"/>
    </row>
    <row r="204" spans="1:15" x14ac:dyDescent="0.15">
      <c r="A204" s="37"/>
      <c r="C204" s="3"/>
      <c r="J204" s="8"/>
      <c r="K204" s="8"/>
      <c r="L204" s="9"/>
      <c r="M204" s="10"/>
      <c r="N204" s="4"/>
      <c r="O204" s="5"/>
    </row>
    <row r="205" spans="1:15" x14ac:dyDescent="0.15">
      <c r="A205" s="37"/>
      <c r="C205" s="3"/>
      <c r="J205" s="8"/>
      <c r="K205" s="8"/>
      <c r="L205" s="9"/>
      <c r="M205" s="10"/>
      <c r="N205" s="4"/>
      <c r="O205" s="5"/>
    </row>
    <row r="206" spans="1:15" x14ac:dyDescent="0.15">
      <c r="A206" s="37"/>
      <c r="C206" s="3"/>
      <c r="J206" s="8"/>
      <c r="K206" s="8"/>
      <c r="L206" s="9"/>
      <c r="M206" s="10"/>
      <c r="N206" s="4"/>
      <c r="O206" s="5"/>
    </row>
    <row r="207" spans="1:15" x14ac:dyDescent="0.15">
      <c r="A207" s="37"/>
      <c r="C207" s="3"/>
      <c r="J207" s="8"/>
      <c r="K207" s="8"/>
      <c r="L207" s="9"/>
      <c r="M207" s="10"/>
      <c r="N207" s="4"/>
      <c r="O207" s="5"/>
    </row>
    <row r="208" spans="1:15" x14ac:dyDescent="0.15">
      <c r="A208" s="37"/>
      <c r="C208" s="3"/>
      <c r="J208" s="8"/>
      <c r="K208" s="8"/>
      <c r="L208" s="9"/>
      <c r="M208" s="10"/>
      <c r="N208" s="4"/>
      <c r="O208" s="5"/>
    </row>
    <row r="209" spans="1:15" x14ac:dyDescent="0.15">
      <c r="A209" s="37"/>
      <c r="C209" s="3"/>
      <c r="J209" s="8"/>
      <c r="K209" s="8"/>
      <c r="L209" s="9"/>
      <c r="M209" s="10"/>
      <c r="N209" s="4"/>
      <c r="O209" s="5"/>
    </row>
    <row r="210" spans="1:15" x14ac:dyDescent="0.15">
      <c r="A210" s="37"/>
      <c r="C210" s="3"/>
      <c r="J210" s="8"/>
      <c r="K210" s="8"/>
      <c r="L210" s="9"/>
      <c r="M210" s="10"/>
      <c r="N210" s="4"/>
      <c r="O210" s="5"/>
    </row>
    <row r="211" spans="1:15" x14ac:dyDescent="0.15">
      <c r="A211" s="37"/>
      <c r="C211" s="3"/>
      <c r="J211" s="8"/>
      <c r="K211" s="8"/>
      <c r="L211" s="9"/>
      <c r="M211" s="10"/>
      <c r="N211" s="4"/>
      <c r="O211" s="5"/>
    </row>
    <row r="212" spans="1:15" x14ac:dyDescent="0.15">
      <c r="A212" s="37"/>
      <c r="C212" s="3"/>
      <c r="J212" s="8"/>
      <c r="K212" s="8"/>
      <c r="L212" s="9"/>
      <c r="M212" s="10"/>
      <c r="N212" s="4"/>
      <c r="O212" s="5"/>
    </row>
    <row r="213" spans="1:15" x14ac:dyDescent="0.15">
      <c r="A213" s="37"/>
      <c r="C213" s="3"/>
      <c r="J213" s="8"/>
      <c r="K213" s="8"/>
      <c r="L213" s="9"/>
      <c r="M213" s="10"/>
      <c r="N213" s="4"/>
      <c r="O213" s="5"/>
    </row>
    <row r="214" spans="1:15" x14ac:dyDescent="0.15">
      <c r="A214" s="37"/>
      <c r="C214" s="3"/>
      <c r="J214" s="8"/>
      <c r="K214" s="8"/>
      <c r="L214" s="9"/>
      <c r="M214" s="10"/>
      <c r="N214" s="4"/>
      <c r="O214" s="5"/>
    </row>
    <row r="215" spans="1:15" x14ac:dyDescent="0.15">
      <c r="A215" s="37"/>
      <c r="C215" s="3"/>
      <c r="J215" s="8"/>
      <c r="K215" s="8"/>
      <c r="L215" s="9"/>
      <c r="M215" s="10"/>
      <c r="N215" s="4"/>
      <c r="O215" s="5"/>
    </row>
    <row r="216" spans="1:15" x14ac:dyDescent="0.15">
      <c r="A216" s="37"/>
      <c r="C216" s="3"/>
      <c r="J216" s="8"/>
      <c r="K216" s="8"/>
      <c r="L216" s="9"/>
      <c r="M216" s="10"/>
      <c r="N216" s="4"/>
      <c r="O216" s="5"/>
    </row>
    <row r="217" spans="1:15" x14ac:dyDescent="0.15">
      <c r="A217" s="37"/>
      <c r="C217" s="3"/>
      <c r="J217" s="8"/>
      <c r="K217" s="8"/>
      <c r="L217" s="9"/>
      <c r="M217" s="10"/>
      <c r="N217" s="4"/>
      <c r="O217" s="5"/>
    </row>
    <row r="218" spans="1:15" x14ac:dyDescent="0.15">
      <c r="A218" s="37"/>
      <c r="C218" s="3"/>
      <c r="J218" s="8"/>
      <c r="K218" s="8"/>
      <c r="L218" s="9"/>
      <c r="M218" s="10"/>
      <c r="N218" s="4"/>
      <c r="O218" s="5"/>
    </row>
    <row r="219" spans="1:15" x14ac:dyDescent="0.15">
      <c r="A219" s="37"/>
      <c r="C219" s="3"/>
      <c r="J219" s="8"/>
      <c r="K219" s="8"/>
      <c r="L219" s="9"/>
      <c r="M219" s="10"/>
      <c r="N219" s="4"/>
      <c r="O219" s="5"/>
    </row>
    <row r="220" spans="1:15" x14ac:dyDescent="0.15">
      <c r="A220" s="37"/>
      <c r="C220" s="3"/>
      <c r="J220" s="8"/>
      <c r="K220" s="8"/>
      <c r="L220" s="9"/>
      <c r="M220" s="10"/>
      <c r="N220" s="4"/>
      <c r="O220" s="5"/>
    </row>
    <row r="221" spans="1:15" x14ac:dyDescent="0.15">
      <c r="A221" s="37"/>
      <c r="C221" s="3"/>
      <c r="J221" s="8"/>
      <c r="K221" s="8"/>
      <c r="L221" s="9"/>
      <c r="M221" s="10"/>
      <c r="N221" s="4"/>
      <c r="O221" s="5"/>
    </row>
    <row r="222" spans="1:15" x14ac:dyDescent="0.15">
      <c r="A222" s="37"/>
      <c r="C222" s="3"/>
      <c r="J222" s="8"/>
      <c r="K222" s="8"/>
      <c r="L222" s="9"/>
      <c r="M222" s="10"/>
      <c r="N222" s="4"/>
      <c r="O222" s="5"/>
    </row>
    <row r="223" spans="1:15" x14ac:dyDescent="0.15">
      <c r="A223" s="37"/>
      <c r="C223" s="3"/>
      <c r="J223" s="8"/>
      <c r="K223" s="8"/>
      <c r="L223" s="9"/>
      <c r="M223" s="10"/>
      <c r="N223" s="4"/>
      <c r="O223" s="5"/>
    </row>
    <row r="224" spans="1:15" x14ac:dyDescent="0.15">
      <c r="A224" s="37"/>
      <c r="C224" s="3"/>
      <c r="J224" s="8"/>
      <c r="K224" s="8"/>
      <c r="L224" s="9"/>
      <c r="M224" s="10"/>
      <c r="N224" s="4"/>
      <c r="O224" s="5"/>
    </row>
    <row r="225" spans="1:15" x14ac:dyDescent="0.15">
      <c r="A225" s="37"/>
      <c r="C225" s="3"/>
      <c r="J225" s="8"/>
      <c r="K225" s="8"/>
      <c r="L225" s="9"/>
      <c r="M225" s="10"/>
      <c r="N225" s="4"/>
      <c r="O225" s="5"/>
    </row>
    <row r="226" spans="1:15" x14ac:dyDescent="0.15">
      <c r="A226" s="37"/>
      <c r="C226" s="3"/>
      <c r="J226" s="8"/>
      <c r="K226" s="8"/>
      <c r="L226" s="9"/>
      <c r="M226" s="10"/>
      <c r="N226" s="4"/>
      <c r="O226" s="5"/>
    </row>
    <row r="227" spans="1:15" x14ac:dyDescent="0.15">
      <c r="A227" s="37"/>
      <c r="C227" s="3"/>
      <c r="J227" s="8"/>
      <c r="K227" s="8"/>
      <c r="L227" s="9"/>
      <c r="M227" s="10"/>
      <c r="N227" s="4"/>
      <c r="O227" s="5"/>
    </row>
    <row r="228" spans="1:15" x14ac:dyDescent="0.15">
      <c r="A228" s="37"/>
      <c r="C228" s="3"/>
      <c r="J228" s="8"/>
      <c r="K228" s="8"/>
      <c r="L228" s="9"/>
      <c r="M228" s="10"/>
      <c r="N228" s="4"/>
      <c r="O228" s="5"/>
    </row>
    <row r="229" spans="1:15" x14ac:dyDescent="0.15">
      <c r="A229" s="37"/>
      <c r="C229" s="3"/>
      <c r="J229" s="8"/>
      <c r="K229" s="8"/>
      <c r="L229" s="9"/>
      <c r="M229" s="10"/>
      <c r="N229" s="4"/>
      <c r="O229" s="5"/>
    </row>
    <row r="230" spans="1:15" x14ac:dyDescent="0.15">
      <c r="A230" s="37"/>
      <c r="C230" s="3"/>
      <c r="J230" s="8"/>
      <c r="K230" s="8"/>
      <c r="L230" s="9"/>
      <c r="M230" s="10"/>
      <c r="N230" s="4"/>
      <c r="O230" s="5"/>
    </row>
    <row r="231" spans="1:15" x14ac:dyDescent="0.15">
      <c r="A231" s="37"/>
      <c r="C231" s="3"/>
      <c r="J231" s="8"/>
      <c r="K231" s="8"/>
      <c r="L231" s="9"/>
      <c r="M231" s="10"/>
      <c r="N231" s="4"/>
      <c r="O231" s="5"/>
    </row>
    <row r="232" spans="1:15" x14ac:dyDescent="0.15">
      <c r="A232" s="37"/>
      <c r="C232" s="3"/>
      <c r="J232" s="8"/>
      <c r="K232" s="8"/>
      <c r="L232" s="9"/>
      <c r="M232" s="10"/>
      <c r="N232" s="4"/>
      <c r="O232" s="5"/>
    </row>
    <row r="233" spans="1:15" x14ac:dyDescent="0.15">
      <c r="A233" s="37"/>
      <c r="C233" s="3"/>
      <c r="J233" s="8"/>
      <c r="K233" s="8"/>
      <c r="L233" s="9"/>
      <c r="M233" s="10"/>
      <c r="N233" s="4"/>
      <c r="O233" s="5"/>
    </row>
    <row r="234" spans="1:15" x14ac:dyDescent="0.15">
      <c r="A234" s="37"/>
      <c r="C234" s="3"/>
      <c r="J234" s="8"/>
      <c r="K234" s="8"/>
      <c r="L234" s="9"/>
      <c r="M234" s="10"/>
      <c r="N234" s="4"/>
      <c r="O234" s="5"/>
    </row>
    <row r="235" spans="1:15" x14ac:dyDescent="0.15">
      <c r="A235" s="37"/>
      <c r="C235" s="3"/>
      <c r="J235" s="8"/>
      <c r="K235" s="8"/>
      <c r="L235" s="9"/>
      <c r="M235" s="10"/>
      <c r="N235" s="4"/>
      <c r="O235" s="5"/>
    </row>
    <row r="236" spans="1:15" x14ac:dyDescent="0.15">
      <c r="A236" s="37"/>
      <c r="C236" s="3"/>
      <c r="J236" s="8"/>
      <c r="K236" s="8"/>
      <c r="L236" s="9"/>
      <c r="M236" s="10"/>
      <c r="N236" s="4"/>
      <c r="O236" s="5"/>
    </row>
    <row r="237" spans="1:15" x14ac:dyDescent="0.15">
      <c r="A237" s="37"/>
      <c r="C237" s="3"/>
      <c r="J237" s="8"/>
      <c r="K237" s="8"/>
      <c r="L237" s="9"/>
      <c r="M237" s="10"/>
      <c r="N237" s="4"/>
      <c r="O237" s="5"/>
    </row>
    <row r="238" spans="1:15" x14ac:dyDescent="0.15">
      <c r="A238" s="37"/>
      <c r="C238" s="3"/>
      <c r="J238" s="8"/>
      <c r="K238" s="8"/>
      <c r="L238" s="9"/>
      <c r="M238" s="10"/>
      <c r="N238" s="4"/>
      <c r="O238" s="5"/>
    </row>
    <row r="239" spans="1:15" x14ac:dyDescent="0.15">
      <c r="A239" s="37"/>
      <c r="C239" s="3"/>
      <c r="J239" s="8"/>
      <c r="K239" s="8"/>
      <c r="L239" s="9"/>
      <c r="M239" s="10"/>
      <c r="N239" s="4"/>
      <c r="O239" s="5"/>
    </row>
    <row r="240" spans="1:15" x14ac:dyDescent="0.15">
      <c r="A240" s="37"/>
      <c r="C240" s="3"/>
      <c r="J240" s="8"/>
      <c r="K240" s="8"/>
      <c r="L240" s="9"/>
      <c r="M240" s="10"/>
      <c r="N240" s="4"/>
      <c r="O240" s="5"/>
    </row>
    <row r="241" spans="1:15" x14ac:dyDescent="0.15">
      <c r="A241" s="37"/>
      <c r="C241" s="3"/>
      <c r="J241" s="8"/>
      <c r="K241" s="8"/>
      <c r="L241" s="9"/>
      <c r="M241" s="10"/>
      <c r="N241" s="4"/>
      <c r="O241" s="5"/>
    </row>
    <row r="242" spans="1:15" x14ac:dyDescent="0.15">
      <c r="A242" s="37"/>
      <c r="C242" s="3"/>
      <c r="J242" s="8"/>
      <c r="K242" s="8"/>
      <c r="L242" s="9"/>
      <c r="M242" s="10"/>
      <c r="N242" s="4"/>
      <c r="O242" s="5"/>
    </row>
    <row r="243" spans="1:15" x14ac:dyDescent="0.15">
      <c r="A243" s="37"/>
      <c r="C243" s="3"/>
      <c r="J243" s="8"/>
      <c r="K243" s="8"/>
      <c r="L243" s="9"/>
      <c r="M243" s="10"/>
      <c r="N243" s="4"/>
      <c r="O243" s="5"/>
    </row>
    <row r="244" spans="1:15" x14ac:dyDescent="0.15">
      <c r="A244" s="37"/>
      <c r="C244" s="3"/>
      <c r="J244" s="8"/>
      <c r="K244" s="8"/>
      <c r="L244" s="9"/>
      <c r="M244" s="10"/>
      <c r="N244" s="4"/>
      <c r="O244" s="5"/>
    </row>
    <row r="245" spans="1:15" x14ac:dyDescent="0.15">
      <c r="A245" s="37"/>
      <c r="C245" s="3"/>
      <c r="J245" s="8"/>
      <c r="K245" s="8"/>
      <c r="L245" s="9"/>
      <c r="M245" s="10"/>
      <c r="N245" s="4"/>
      <c r="O245" s="5"/>
    </row>
    <row r="246" spans="1:15" x14ac:dyDescent="0.15">
      <c r="A246" s="37"/>
      <c r="C246" s="3"/>
      <c r="J246" s="8"/>
      <c r="K246" s="8"/>
      <c r="L246" s="9"/>
      <c r="M246" s="10"/>
      <c r="N246" s="4"/>
      <c r="O246" s="5"/>
    </row>
    <row r="247" spans="1:15" x14ac:dyDescent="0.15">
      <c r="A247" s="37"/>
      <c r="C247" s="3"/>
      <c r="J247" s="8"/>
      <c r="K247" s="8"/>
      <c r="L247" s="9"/>
      <c r="M247" s="10"/>
      <c r="N247" s="4"/>
      <c r="O247" s="5"/>
    </row>
    <row r="248" spans="1:15" x14ac:dyDescent="0.15">
      <c r="A248" s="37"/>
      <c r="C248" s="3"/>
      <c r="J248" s="8"/>
      <c r="K248" s="8"/>
      <c r="L248" s="9"/>
      <c r="M248" s="10"/>
      <c r="N248" s="4"/>
      <c r="O248" s="5"/>
    </row>
    <row r="249" spans="1:15" x14ac:dyDescent="0.15">
      <c r="A249" s="37"/>
      <c r="C249" s="3"/>
      <c r="J249" s="8"/>
      <c r="K249" s="8"/>
      <c r="L249" s="9"/>
      <c r="M249" s="10"/>
      <c r="N249" s="4"/>
      <c r="O249" s="5"/>
    </row>
    <row r="250" spans="1:15" x14ac:dyDescent="0.15">
      <c r="A250" s="37"/>
      <c r="C250" s="3"/>
      <c r="J250" s="8"/>
      <c r="K250" s="8"/>
      <c r="L250" s="9"/>
      <c r="M250" s="10"/>
      <c r="N250" s="4"/>
      <c r="O250" s="5"/>
    </row>
    <row r="251" spans="1:15" x14ac:dyDescent="0.15">
      <c r="A251" s="37"/>
      <c r="C251" s="3"/>
      <c r="J251" s="8"/>
      <c r="K251" s="8"/>
      <c r="L251" s="9"/>
      <c r="M251" s="10"/>
      <c r="N251" s="4"/>
      <c r="O251" s="5"/>
    </row>
    <row r="252" spans="1:15" x14ac:dyDescent="0.15">
      <c r="A252" s="37"/>
      <c r="C252" s="3"/>
      <c r="J252" s="8"/>
      <c r="K252" s="8"/>
      <c r="L252" s="9"/>
      <c r="M252" s="10"/>
      <c r="N252" s="4"/>
      <c r="O252" s="5"/>
    </row>
    <row r="253" spans="1:15" x14ac:dyDescent="0.15">
      <c r="A253" s="37"/>
      <c r="C253" s="3"/>
      <c r="J253" s="8"/>
      <c r="K253" s="8"/>
      <c r="L253" s="9"/>
      <c r="M253" s="10"/>
      <c r="N253" s="4"/>
      <c r="O253" s="5"/>
    </row>
    <row r="254" spans="1:15" x14ac:dyDescent="0.15">
      <c r="A254" s="37"/>
      <c r="C254" s="3"/>
      <c r="J254" s="8"/>
      <c r="K254" s="8"/>
      <c r="L254" s="9"/>
      <c r="M254" s="10"/>
      <c r="N254" s="4"/>
      <c r="O254" s="5"/>
    </row>
    <row r="255" spans="1:15" x14ac:dyDescent="0.15">
      <c r="A255" s="37"/>
      <c r="C255" s="3"/>
      <c r="J255" s="8"/>
      <c r="K255" s="8"/>
      <c r="L255" s="9"/>
      <c r="M255" s="10"/>
      <c r="N255" s="4"/>
      <c r="O255" s="5"/>
    </row>
    <row r="256" spans="1:15" x14ac:dyDescent="0.15">
      <c r="A256" s="37"/>
      <c r="C256" s="3"/>
      <c r="J256" s="8"/>
      <c r="K256" s="8"/>
      <c r="L256" s="9"/>
      <c r="M256" s="10"/>
      <c r="N256" s="4"/>
      <c r="O256" s="5"/>
    </row>
    <row r="257" spans="1:15" x14ac:dyDescent="0.15">
      <c r="A257" s="37"/>
      <c r="C257" s="3"/>
      <c r="J257" s="8"/>
      <c r="K257" s="8"/>
      <c r="L257" s="9"/>
      <c r="M257" s="10"/>
      <c r="N257" s="4"/>
      <c r="O257" s="5"/>
    </row>
    <row r="258" spans="1:15" x14ac:dyDescent="0.15">
      <c r="A258" s="37"/>
      <c r="C258" s="3"/>
      <c r="J258" s="8"/>
      <c r="K258" s="8"/>
      <c r="L258" s="9"/>
      <c r="M258" s="10"/>
      <c r="N258" s="4"/>
      <c r="O258" s="5"/>
    </row>
    <row r="259" spans="1:15" x14ac:dyDescent="0.15">
      <c r="A259" s="37"/>
      <c r="C259" s="3"/>
      <c r="J259" s="8"/>
      <c r="K259" s="8"/>
      <c r="L259" s="9"/>
      <c r="M259" s="10"/>
      <c r="N259" s="4"/>
      <c r="O259" s="5"/>
    </row>
    <row r="260" spans="1:15" x14ac:dyDescent="0.15">
      <c r="A260" s="37"/>
      <c r="C260" s="3"/>
      <c r="J260" s="8"/>
      <c r="K260" s="8"/>
      <c r="L260" s="9"/>
      <c r="M260" s="10"/>
      <c r="N260" s="4"/>
      <c r="O260" s="5"/>
    </row>
    <row r="261" spans="1:15" x14ac:dyDescent="0.15">
      <c r="A261" s="37"/>
      <c r="C261" s="3"/>
      <c r="J261" s="8"/>
      <c r="K261" s="8"/>
      <c r="L261" s="9"/>
      <c r="M261" s="10"/>
      <c r="N261" s="4"/>
      <c r="O261" s="5"/>
    </row>
    <row r="262" spans="1:15" x14ac:dyDescent="0.15">
      <c r="A262" s="37"/>
      <c r="C262" s="3"/>
      <c r="J262" s="8"/>
      <c r="K262" s="8"/>
      <c r="L262" s="9"/>
      <c r="M262" s="10"/>
      <c r="N262" s="4"/>
      <c r="O262" s="5"/>
    </row>
    <row r="263" spans="1:15" x14ac:dyDescent="0.15">
      <c r="A263" s="37"/>
      <c r="C263" s="3"/>
      <c r="J263" s="8"/>
      <c r="K263" s="8"/>
      <c r="L263" s="9"/>
      <c r="M263" s="10"/>
      <c r="N263" s="4"/>
      <c r="O263" s="5"/>
    </row>
    <row r="264" spans="1:15" x14ac:dyDescent="0.15">
      <c r="A264" s="37"/>
      <c r="C264" s="3"/>
      <c r="J264" s="8"/>
      <c r="K264" s="8"/>
      <c r="L264" s="9"/>
      <c r="M264" s="10"/>
      <c r="N264" s="4"/>
      <c r="O264" s="5"/>
    </row>
    <row r="265" spans="1:15" x14ac:dyDescent="0.15">
      <c r="A265" s="37"/>
      <c r="C265" s="3"/>
      <c r="J265" s="8"/>
      <c r="K265" s="8"/>
      <c r="L265" s="9"/>
      <c r="M265" s="10"/>
      <c r="N265" s="4"/>
      <c r="O265" s="5"/>
    </row>
    <row r="266" spans="1:15" x14ac:dyDescent="0.15">
      <c r="A266" s="37"/>
      <c r="C266" s="3"/>
      <c r="J266" s="8"/>
      <c r="K266" s="8"/>
      <c r="L266" s="9"/>
      <c r="M266" s="10"/>
      <c r="N266" s="4"/>
      <c r="O266" s="5"/>
    </row>
    <row r="267" spans="1:15" x14ac:dyDescent="0.15">
      <c r="A267" s="37"/>
      <c r="C267" s="3"/>
      <c r="J267" s="8"/>
      <c r="K267" s="8"/>
      <c r="L267" s="9"/>
      <c r="M267" s="10"/>
      <c r="N267" s="4"/>
      <c r="O267" s="5"/>
    </row>
    <row r="268" spans="1:15" x14ac:dyDescent="0.15">
      <c r="A268" s="37"/>
      <c r="C268" s="3"/>
      <c r="J268" s="8"/>
      <c r="K268" s="8"/>
      <c r="L268" s="9"/>
      <c r="M268" s="10"/>
      <c r="N268" s="4"/>
      <c r="O268" s="5"/>
    </row>
    <row r="269" spans="1:15" x14ac:dyDescent="0.15">
      <c r="A269" s="37"/>
      <c r="C269" s="3"/>
      <c r="J269" s="8"/>
      <c r="K269" s="8"/>
      <c r="L269" s="9"/>
      <c r="M269" s="10"/>
      <c r="N269" s="4"/>
      <c r="O269" s="5"/>
    </row>
    <row r="270" spans="1:15" x14ac:dyDescent="0.15">
      <c r="A270" s="37"/>
      <c r="C270" s="3"/>
      <c r="J270" s="8"/>
      <c r="K270" s="8"/>
      <c r="L270" s="9"/>
      <c r="M270" s="10"/>
      <c r="N270" s="4"/>
      <c r="O270" s="5"/>
    </row>
    <row r="271" spans="1:15" x14ac:dyDescent="0.15">
      <c r="A271" s="37"/>
      <c r="C271" s="3"/>
      <c r="J271" s="8"/>
      <c r="K271" s="8"/>
      <c r="L271" s="9"/>
      <c r="M271" s="10"/>
      <c r="N271" s="4"/>
      <c r="O271" s="5"/>
    </row>
    <row r="272" spans="1:15" x14ac:dyDescent="0.15">
      <c r="A272" s="37"/>
      <c r="C272" s="3"/>
      <c r="J272" s="8"/>
      <c r="K272" s="8"/>
      <c r="L272" s="9"/>
      <c r="M272" s="10"/>
      <c r="N272" s="4"/>
      <c r="O272" s="5"/>
    </row>
    <row r="273" spans="1:15" x14ac:dyDescent="0.15">
      <c r="A273" s="37"/>
      <c r="C273" s="3"/>
      <c r="J273" s="8"/>
      <c r="K273" s="8"/>
      <c r="L273" s="9"/>
      <c r="M273" s="10"/>
      <c r="N273" s="4"/>
      <c r="O273" s="5"/>
    </row>
    <row r="274" spans="1:15" x14ac:dyDescent="0.15">
      <c r="A274" s="37"/>
      <c r="C274" s="3"/>
      <c r="J274" s="8"/>
      <c r="K274" s="8"/>
      <c r="L274" s="9"/>
      <c r="M274" s="10"/>
      <c r="N274" s="4"/>
      <c r="O274" s="5"/>
    </row>
    <row r="275" spans="1:15" x14ac:dyDescent="0.15">
      <c r="A275" s="37"/>
      <c r="C275" s="3"/>
      <c r="J275" s="8"/>
      <c r="K275" s="8"/>
      <c r="L275" s="9"/>
      <c r="M275" s="10"/>
      <c r="N275" s="4"/>
      <c r="O275" s="5"/>
    </row>
    <row r="276" spans="1:15" x14ac:dyDescent="0.15">
      <c r="A276" s="37"/>
      <c r="C276" s="3"/>
      <c r="J276" s="8"/>
      <c r="K276" s="8"/>
      <c r="L276" s="9"/>
      <c r="M276" s="10"/>
      <c r="N276" s="4"/>
      <c r="O276" s="5"/>
    </row>
    <row r="277" spans="1:15" x14ac:dyDescent="0.15">
      <c r="A277" s="37"/>
      <c r="C277" s="3"/>
      <c r="J277" s="8"/>
      <c r="K277" s="8"/>
      <c r="L277" s="9"/>
      <c r="M277" s="10"/>
      <c r="N277" s="4"/>
      <c r="O277" s="5"/>
    </row>
    <row r="278" spans="1:15" x14ac:dyDescent="0.15">
      <c r="A278" s="37"/>
      <c r="C278" s="3"/>
      <c r="J278" s="8"/>
      <c r="K278" s="8"/>
      <c r="L278" s="9"/>
      <c r="M278" s="10"/>
      <c r="N278" s="4"/>
      <c r="O278" s="5"/>
    </row>
    <row r="279" spans="1:15" x14ac:dyDescent="0.15">
      <c r="A279" s="37"/>
      <c r="C279" s="3"/>
      <c r="J279" s="8"/>
      <c r="K279" s="8"/>
      <c r="L279" s="9"/>
      <c r="M279" s="10"/>
      <c r="N279" s="4"/>
      <c r="O279" s="5"/>
    </row>
    <row r="280" spans="1:15" x14ac:dyDescent="0.15">
      <c r="A280" s="37"/>
      <c r="C280" s="3"/>
      <c r="J280" s="8"/>
      <c r="K280" s="8"/>
      <c r="L280" s="9"/>
      <c r="M280" s="10"/>
      <c r="N280" s="4"/>
      <c r="O280" s="5"/>
    </row>
    <row r="281" spans="1:15" x14ac:dyDescent="0.15">
      <c r="A281" s="37"/>
      <c r="C281" s="3"/>
      <c r="J281" s="8"/>
      <c r="K281" s="8"/>
      <c r="L281" s="9"/>
      <c r="M281" s="10"/>
      <c r="N281" s="4"/>
      <c r="O281" s="5"/>
    </row>
    <row r="282" spans="1:15" x14ac:dyDescent="0.15">
      <c r="A282" s="37"/>
      <c r="C282" s="3"/>
      <c r="J282" s="8"/>
      <c r="K282" s="8"/>
      <c r="L282" s="9"/>
      <c r="M282" s="10"/>
      <c r="N282" s="4"/>
      <c r="O282" s="5"/>
    </row>
    <row r="283" spans="1:15" x14ac:dyDescent="0.15">
      <c r="A283" s="37"/>
      <c r="C283" s="3"/>
      <c r="J283" s="8"/>
      <c r="K283" s="8"/>
      <c r="L283" s="9"/>
      <c r="M283" s="10"/>
      <c r="N283" s="4"/>
      <c r="O283" s="5"/>
    </row>
    <row r="284" spans="1:15" x14ac:dyDescent="0.15">
      <c r="A284" s="37"/>
      <c r="C284" s="3"/>
      <c r="J284" s="8"/>
      <c r="K284" s="8"/>
      <c r="L284" s="9"/>
      <c r="M284" s="10"/>
      <c r="N284" s="4"/>
      <c r="O284" s="5"/>
    </row>
    <row r="285" spans="1:15" x14ac:dyDescent="0.15">
      <c r="A285" s="37"/>
      <c r="C285" s="3"/>
      <c r="J285" s="8"/>
      <c r="K285" s="8"/>
      <c r="L285" s="9"/>
      <c r="M285" s="10"/>
      <c r="N285" s="4"/>
      <c r="O285" s="5"/>
    </row>
    <row r="286" spans="1:15" x14ac:dyDescent="0.15">
      <c r="A286" s="37"/>
      <c r="C286" s="3"/>
      <c r="J286" s="8"/>
      <c r="K286" s="8"/>
      <c r="L286" s="9"/>
      <c r="M286" s="10"/>
      <c r="N286" s="4"/>
      <c r="O286" s="5"/>
    </row>
    <row r="287" spans="1:15" x14ac:dyDescent="0.15">
      <c r="A287" s="37"/>
      <c r="C287" s="3"/>
      <c r="J287" s="8"/>
      <c r="K287" s="8"/>
      <c r="L287" s="9"/>
      <c r="M287" s="10"/>
      <c r="N287" s="4"/>
      <c r="O287" s="5"/>
    </row>
  </sheetData>
  <mergeCells count="7">
    <mergeCell ref="A5:G8"/>
    <mergeCell ref="Q1:R1"/>
    <mergeCell ref="J2:K2"/>
    <mergeCell ref="L2:M2"/>
    <mergeCell ref="Q2:R2"/>
    <mergeCell ref="J1:K1"/>
    <mergeCell ref="L1:M1"/>
  </mergeCells>
  <phoneticPr fontId="1"/>
  <conditionalFormatting sqref="P1:P22 P27:P33 P25:Q26 P38:P43 P48:P50 P55:P59 P64:P69 P87:P92 P107:Q107 P108:P120 P74:P82 P97:P102 P125:P1048576">
    <cfRule type="cellIs" dxfId="65" priority="42" operator="equal">
      <formula>"？"</formula>
    </cfRule>
    <cfRule type="cellIs" dxfId="64" priority="43" operator="equal">
      <formula>"陽"</formula>
    </cfRule>
    <cfRule type="cellIs" dxfId="63" priority="44" operator="equal">
      <formula>"陰"</formula>
    </cfRule>
  </conditionalFormatting>
  <conditionalFormatting sqref="P36:Q37">
    <cfRule type="cellIs" dxfId="62" priority="37" operator="equal">
      <formula>"？"</formula>
    </cfRule>
    <cfRule type="cellIs" dxfId="61" priority="38" operator="equal">
      <formula>"陽"</formula>
    </cfRule>
    <cfRule type="cellIs" dxfId="60" priority="39" operator="equal">
      <formula>"陰"</formula>
    </cfRule>
  </conditionalFormatting>
  <conditionalFormatting sqref="P62:Q63">
    <cfRule type="cellIs" dxfId="59" priority="28" operator="equal">
      <formula>"？"</formula>
    </cfRule>
    <cfRule type="cellIs" dxfId="58" priority="29" operator="equal">
      <formula>"陽"</formula>
    </cfRule>
    <cfRule type="cellIs" dxfId="57" priority="30" operator="equal">
      <formula>"陰"</formula>
    </cfRule>
  </conditionalFormatting>
  <conditionalFormatting sqref="P72:Q73">
    <cfRule type="cellIs" dxfId="56" priority="25" operator="equal">
      <formula>"？"</formula>
    </cfRule>
    <cfRule type="cellIs" dxfId="55" priority="26" operator="equal">
      <formula>"陽"</formula>
    </cfRule>
    <cfRule type="cellIs" dxfId="54" priority="27" operator="equal">
      <formula>"陰"</formula>
    </cfRule>
  </conditionalFormatting>
  <conditionalFormatting sqref="P85:Q86">
    <cfRule type="cellIs" dxfId="53" priority="22" operator="equal">
      <formula>"？"</formula>
    </cfRule>
    <cfRule type="cellIs" dxfId="52" priority="23" operator="equal">
      <formula>"陽"</formula>
    </cfRule>
    <cfRule type="cellIs" dxfId="51" priority="24" operator="equal">
      <formula>"陰"</formula>
    </cfRule>
  </conditionalFormatting>
  <conditionalFormatting sqref="P46:Q47">
    <cfRule type="cellIs" dxfId="50" priority="13" operator="equal">
      <formula>"？"</formula>
    </cfRule>
    <cfRule type="cellIs" dxfId="49" priority="14" operator="equal">
      <formula>"陽"</formula>
    </cfRule>
    <cfRule type="cellIs" dxfId="48" priority="15" operator="equal">
      <formula>"陰"</formula>
    </cfRule>
  </conditionalFormatting>
  <conditionalFormatting sqref="P53:Q54">
    <cfRule type="cellIs" dxfId="47" priority="10" operator="equal">
      <formula>"？"</formula>
    </cfRule>
    <cfRule type="cellIs" dxfId="46" priority="11" operator="equal">
      <formula>"陽"</formula>
    </cfRule>
    <cfRule type="cellIs" dxfId="45" priority="12" operator="equal">
      <formula>"陰"</formula>
    </cfRule>
  </conditionalFormatting>
  <conditionalFormatting sqref="P95:Q96">
    <cfRule type="cellIs" dxfId="44" priority="7" operator="equal">
      <formula>"？"</formula>
    </cfRule>
    <cfRule type="cellIs" dxfId="43" priority="8" operator="equal">
      <formula>"陽"</formula>
    </cfRule>
    <cfRule type="cellIs" dxfId="42" priority="9" operator="equal">
      <formula>"陰"</formula>
    </cfRule>
  </conditionalFormatting>
  <conditionalFormatting sqref="P105:Q106">
    <cfRule type="cellIs" dxfId="41" priority="4" operator="equal">
      <formula>"？"</formula>
    </cfRule>
    <cfRule type="cellIs" dxfId="40" priority="5" operator="equal">
      <formula>"陽"</formula>
    </cfRule>
    <cfRule type="cellIs" dxfId="39" priority="6" operator="equal">
      <formula>"陰"</formula>
    </cfRule>
  </conditionalFormatting>
  <conditionalFormatting sqref="P123:Q124">
    <cfRule type="cellIs" dxfId="38" priority="1" operator="equal">
      <formula>"？"</formula>
    </cfRule>
    <cfRule type="cellIs" dxfId="37" priority="2" operator="equal">
      <formula>"陽"</formula>
    </cfRule>
    <cfRule type="cellIs" dxfId="36" priority="3" operator="equal">
      <formula>"陰"</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2"/>
  <sheetViews>
    <sheetView zoomScale="85" zoomScaleNormal="85" workbookViewId="0">
      <pane ySplit="12" topLeftCell="A61" activePane="bottomLeft" state="frozen"/>
      <selection pane="bottomLeft" activeCell="R7" sqref="R7"/>
    </sheetView>
  </sheetViews>
  <sheetFormatPr defaultRowHeight="13.5" x14ac:dyDescent="0.15"/>
  <cols>
    <col min="1" max="1" width="5.25" customWidth="1"/>
    <col min="2" max="2" width="9" style="60"/>
    <col min="4" max="4" width="15.375" style="51" bestFit="1" customWidth="1"/>
    <col min="5" max="5" width="13.125" bestFit="1" customWidth="1"/>
    <col min="6" max="6" width="10.5" bestFit="1" customWidth="1"/>
    <col min="7" max="7" width="15.875" style="51" bestFit="1" customWidth="1"/>
    <col min="10" max="10" width="8.875" style="32" bestFit="1" customWidth="1"/>
    <col min="11" max="11" width="8.875" customWidth="1"/>
    <col min="12" max="12" width="8.875" bestFit="1" customWidth="1"/>
    <col min="13" max="13" width="11" bestFit="1" customWidth="1"/>
    <col min="14" max="14" width="11.25" bestFit="1" customWidth="1"/>
    <col min="15" max="17" width="12.625" bestFit="1" customWidth="1"/>
    <col min="18" max="18" width="14.25" bestFit="1" customWidth="1"/>
  </cols>
  <sheetData>
    <row r="1" spans="1:19" x14ac:dyDescent="0.15">
      <c r="A1" t="s">
        <v>125</v>
      </c>
      <c r="C1" s="6"/>
      <c r="D1" s="60"/>
      <c r="F1" s="6"/>
      <c r="G1" s="60"/>
      <c r="J1" s="69" t="s">
        <v>0</v>
      </c>
      <c r="K1" s="69"/>
      <c r="L1" s="69" t="s">
        <v>1</v>
      </c>
      <c r="M1" s="69"/>
      <c r="N1" s="63" t="s">
        <v>16</v>
      </c>
      <c r="O1" s="26" t="s">
        <v>23</v>
      </c>
      <c r="Q1" s="66"/>
      <c r="R1" s="66"/>
    </row>
    <row r="2" spans="1:19" x14ac:dyDescent="0.15">
      <c r="A2" t="s">
        <v>126</v>
      </c>
      <c r="C2" s="6"/>
      <c r="D2" s="60"/>
      <c r="F2" s="6"/>
      <c r="G2" s="60"/>
      <c r="J2" s="67">
        <v>100000</v>
      </c>
      <c r="K2" s="67"/>
      <c r="L2" s="68">
        <v>0.05</v>
      </c>
      <c r="M2" s="68"/>
      <c r="N2" s="61">
        <f>COUNTIF(J14:J174,"&gt;1")/COUNTIF(A14:A174,"&gt;=1")</f>
        <v>0.59602649006622521</v>
      </c>
      <c r="O2" s="11">
        <f>AVERAGE(O14:O174)</f>
        <v>2.9036710816396982</v>
      </c>
      <c r="Q2" s="66"/>
      <c r="R2" s="66"/>
    </row>
    <row r="3" spans="1:19" x14ac:dyDescent="0.15">
      <c r="A3" t="s">
        <v>127</v>
      </c>
      <c r="C3" s="6"/>
      <c r="D3" s="60"/>
      <c r="F3" s="6"/>
      <c r="G3" s="60"/>
      <c r="J3"/>
    </row>
    <row r="4" spans="1:19" x14ac:dyDescent="0.15">
      <c r="A4" t="s">
        <v>128</v>
      </c>
      <c r="C4" s="6"/>
      <c r="D4" s="60"/>
      <c r="F4" s="6"/>
      <c r="G4" s="60"/>
      <c r="J4" s="20" t="s">
        <v>18</v>
      </c>
      <c r="K4" s="20" t="s">
        <v>19</v>
      </c>
      <c r="L4" s="22" t="s">
        <v>20</v>
      </c>
      <c r="M4" s="23" t="s">
        <v>21</v>
      </c>
      <c r="N4" s="27" t="s">
        <v>24</v>
      </c>
      <c r="O4" s="29" t="s">
        <v>25</v>
      </c>
      <c r="P4" s="73" t="s">
        <v>162</v>
      </c>
      <c r="Q4" s="74" t="s">
        <v>163</v>
      </c>
      <c r="R4" t="s">
        <v>173</v>
      </c>
    </row>
    <row r="5" spans="1:19" ht="13.5" customHeight="1" x14ac:dyDescent="0.15">
      <c r="A5" s="70" t="s">
        <v>129</v>
      </c>
      <c r="B5" s="70"/>
      <c r="C5" s="70"/>
      <c r="D5" s="70"/>
      <c r="E5" s="70"/>
      <c r="F5" s="70"/>
      <c r="G5" s="70"/>
      <c r="J5" s="21">
        <f>SUM(J14:J332)</f>
        <v>56927.000000000015</v>
      </c>
      <c r="K5" s="21">
        <f>SUM(K14:K332)</f>
        <v>358024089.53824902</v>
      </c>
      <c r="L5" s="24">
        <f>SUM(L14:L332)</f>
        <v>-10741.000000000011</v>
      </c>
      <c r="M5" s="24">
        <f>SUM(M14:M332)</f>
        <v>-53312961.307033554</v>
      </c>
      <c r="N5" s="24">
        <v>4</v>
      </c>
      <c r="O5" s="76">
        <f>J2+K5+M5</f>
        <v>304811128.23121548</v>
      </c>
      <c r="P5">
        <f>COUNTIF(I14:I233,"勝")</f>
        <v>90</v>
      </c>
      <c r="Q5">
        <f>COUNTIF(I14:I233,"負")</f>
        <v>60</v>
      </c>
      <c r="R5" s="78">
        <f>AVERAGE(Q172)</f>
        <v>0.77611593244172494</v>
      </c>
    </row>
    <row r="6" spans="1:19" x14ac:dyDescent="0.15">
      <c r="A6" s="70"/>
      <c r="B6" s="70"/>
      <c r="C6" s="70"/>
      <c r="D6" s="70"/>
      <c r="E6" s="70"/>
      <c r="F6" s="70"/>
      <c r="G6" s="70"/>
      <c r="H6" s="36"/>
      <c r="I6" s="36"/>
      <c r="J6" s="36"/>
      <c r="K6" s="36"/>
      <c r="L6" s="36"/>
      <c r="M6" s="36"/>
      <c r="N6" s="36"/>
      <c r="O6" s="39"/>
    </row>
    <row r="7" spans="1:19" x14ac:dyDescent="0.15">
      <c r="A7" s="70"/>
      <c r="B7" s="70"/>
      <c r="C7" s="70"/>
      <c r="D7" s="70"/>
      <c r="E7" s="70"/>
      <c r="F7" s="70"/>
      <c r="G7" s="70"/>
      <c r="H7" s="36"/>
      <c r="I7" s="36"/>
      <c r="J7" s="36"/>
      <c r="K7" s="36"/>
      <c r="L7" s="36"/>
      <c r="M7" s="36"/>
      <c r="N7" s="36"/>
    </row>
    <row r="8" spans="1:19" x14ac:dyDescent="0.15">
      <c r="A8" s="70"/>
      <c r="B8" s="70"/>
      <c r="C8" s="70"/>
      <c r="D8" s="70"/>
      <c r="E8" s="70"/>
      <c r="F8" s="70"/>
      <c r="G8" s="70"/>
      <c r="H8" s="36"/>
      <c r="I8" s="36"/>
      <c r="J8" s="36"/>
      <c r="K8" s="36"/>
      <c r="L8" s="36"/>
      <c r="M8" s="36"/>
      <c r="N8" s="36"/>
    </row>
    <row r="9" spans="1:19" x14ac:dyDescent="0.15">
      <c r="B9" s="28"/>
      <c r="C9" s="62"/>
      <c r="D9" s="28"/>
      <c r="E9" s="62"/>
      <c r="F9" s="62"/>
      <c r="G9" s="28"/>
      <c r="H9" s="62"/>
      <c r="I9" s="62"/>
      <c r="J9" s="62"/>
      <c r="K9" s="62"/>
      <c r="L9" s="62"/>
      <c r="M9" s="62"/>
      <c r="N9" s="62"/>
      <c r="O9" s="62"/>
    </row>
    <row r="10" spans="1:19" x14ac:dyDescent="0.15">
      <c r="D10"/>
      <c r="G10"/>
      <c r="J10"/>
    </row>
    <row r="11" spans="1:19" x14ac:dyDescent="0.15">
      <c r="C11" t="s">
        <v>11</v>
      </c>
      <c r="D11" s="60"/>
      <c r="G11" s="60"/>
      <c r="J11"/>
      <c r="N11" s="41"/>
      <c r="S11" s="77">
        <f>S12/Q5</f>
        <v>0.55000000000000004</v>
      </c>
    </row>
    <row r="12" spans="1:19" x14ac:dyDescent="0.15">
      <c r="A12" s="19" t="s">
        <v>17</v>
      </c>
      <c r="B12" s="2" t="s">
        <v>2</v>
      </c>
      <c r="C12" s="2" t="s">
        <v>3</v>
      </c>
      <c r="D12" s="2" t="s">
        <v>4</v>
      </c>
      <c r="E12" s="2" t="s">
        <v>5</v>
      </c>
      <c r="F12" s="2" t="s">
        <v>6</v>
      </c>
      <c r="G12" s="2" t="s">
        <v>7</v>
      </c>
      <c r="H12" s="2" t="s">
        <v>8</v>
      </c>
      <c r="I12" s="2" t="s">
        <v>22</v>
      </c>
      <c r="J12" s="2" t="s">
        <v>9</v>
      </c>
      <c r="K12" s="2" t="s">
        <v>14</v>
      </c>
      <c r="L12" s="2" t="s">
        <v>10</v>
      </c>
      <c r="M12" s="2" t="s">
        <v>15</v>
      </c>
      <c r="N12" s="2" t="s">
        <v>13</v>
      </c>
      <c r="O12" s="2" t="s">
        <v>12</v>
      </c>
      <c r="P12" s="7"/>
      <c r="S12">
        <f>COUNTIF(S14:S128,"0")</f>
        <v>33</v>
      </c>
    </row>
    <row r="13" spans="1:19" x14ac:dyDescent="0.15">
      <c r="A13" s="7"/>
      <c r="B13" s="7"/>
      <c r="C13" s="3"/>
      <c r="D13" s="35" t="s">
        <v>121</v>
      </c>
      <c r="E13" s="7"/>
      <c r="F13" s="7"/>
      <c r="G13" s="7"/>
      <c r="H13" s="7"/>
      <c r="I13" s="7"/>
      <c r="J13" s="52"/>
      <c r="K13" s="52"/>
      <c r="L13" s="7"/>
      <c r="M13" s="7"/>
      <c r="N13" s="7"/>
      <c r="O13" s="7"/>
    </row>
    <row r="14" spans="1:19" x14ac:dyDescent="0.15">
      <c r="A14" s="60">
        <v>1</v>
      </c>
      <c r="B14" s="60" t="s">
        <v>119</v>
      </c>
      <c r="C14" s="3">
        <f>$J$2*$L$2/(E14-F14)/10000</f>
        <v>0.23148148148148184</v>
      </c>
      <c r="D14" s="51">
        <v>42043</v>
      </c>
      <c r="E14" s="60">
        <v>196.63</v>
      </c>
      <c r="F14" s="60">
        <v>194.47</v>
      </c>
      <c r="G14" s="51">
        <v>42071</v>
      </c>
      <c r="H14" s="60">
        <v>200.75</v>
      </c>
      <c r="I14" s="60" t="s">
        <v>122</v>
      </c>
      <c r="J14" s="8">
        <f>ABS(H14-E14)*100</f>
        <v>412.00000000000045</v>
      </c>
      <c r="K14" s="8">
        <f>J14*C14*100</f>
        <v>9537.037037037062</v>
      </c>
      <c r="L14" s="9"/>
      <c r="M14" s="10"/>
      <c r="N14" s="4">
        <f>J2+J14*C14*100</f>
        <v>109537.03703703707</v>
      </c>
      <c r="O14" s="5">
        <f t="shared" ref="O14:O82" si="0">(H14-E14)/(E14-F14)</f>
        <v>1.9074074074074125</v>
      </c>
      <c r="S14">
        <f>F14-H14</f>
        <v>-6.2800000000000011</v>
      </c>
    </row>
    <row r="15" spans="1:19" x14ac:dyDescent="0.15">
      <c r="A15" s="60">
        <v>2</v>
      </c>
      <c r="B15" s="60" t="s">
        <v>120</v>
      </c>
      <c r="C15" s="3">
        <f>IFERROR(ABS(J2*$L$2/(E15-F15)/10000),"")</f>
        <v>0.20576131687242741</v>
      </c>
      <c r="D15" s="51">
        <v>42072</v>
      </c>
      <c r="E15" s="60">
        <v>199.53</v>
      </c>
      <c r="F15" s="60">
        <v>201.96</v>
      </c>
      <c r="G15" s="51">
        <v>42091</v>
      </c>
      <c r="H15" s="60">
        <v>199.07</v>
      </c>
      <c r="I15" s="60" t="s">
        <v>122</v>
      </c>
      <c r="J15" s="8">
        <f>IFERROR(IF(AND(B15="売",I15="勝"),ABS(E15-H15),IF(AND(B15="買",I15="勝"),ABS(E15-H15),""))*100,"")</f>
        <v>46.000000000000796</v>
      </c>
      <c r="K15" s="8">
        <f>IFERROR(IF(J15&gt;=1,J15*C15*100,""),"")</f>
        <v>946.50205761318239</v>
      </c>
      <c r="L15" s="9" t="str">
        <f>IFERROR(IF(AND(B15="売",I15="負"),(E15-H15),IF(AND(B15="買",I15="負"),(H15-E15),""))*100,"")</f>
        <v/>
      </c>
      <c r="M15" s="10" t="str">
        <f>IFERROR(IF(L15&lt;=1,L15*C15*100,""),"")</f>
        <v/>
      </c>
      <c r="N15" s="4">
        <f t="shared" ref="N15:N78" si="1">IF(I15="ー",N14+0,IF(M15&lt;1,M15+N14,K15+N14))</f>
        <v>110483.53909465024</v>
      </c>
      <c r="O15" s="5">
        <f t="shared" si="0"/>
        <v>0.18930041152263649</v>
      </c>
      <c r="S15">
        <f t="shared" ref="S15:S78" si="2">F15-H15</f>
        <v>2.8900000000000148</v>
      </c>
    </row>
    <row r="16" spans="1:19" x14ac:dyDescent="0.15">
      <c r="A16" s="60">
        <v>3</v>
      </c>
      <c r="B16" s="60" t="s">
        <v>119</v>
      </c>
      <c r="C16" s="3">
        <f>IFERROR(ABS(N15*$L$2/(E16-F16)/10000),"")</f>
        <v>0.31210039292273906</v>
      </c>
      <c r="D16" s="51">
        <v>42091</v>
      </c>
      <c r="E16" s="60">
        <v>200.28</v>
      </c>
      <c r="F16" s="60">
        <v>198.51</v>
      </c>
      <c r="G16" s="51">
        <v>42116</v>
      </c>
      <c r="H16" s="60">
        <v>202.66</v>
      </c>
      <c r="I16" s="60" t="s">
        <v>122</v>
      </c>
      <c r="J16" s="8">
        <f t="shared" ref="J16:J18" si="3">IFERROR(IF(AND(B16="売",I16="勝"),ABS(E16-H16),IF(AND(B16="買",I16="勝"),ABS(E16-H16),""))*100,"")</f>
        <v>237.99999999999955</v>
      </c>
      <c r="K16" s="8">
        <f t="shared" ref="K16:K18" si="4">IFERROR(IF(J16&gt;=1,J16*C16*100,""),"")</f>
        <v>7427.9893515611748</v>
      </c>
      <c r="L16" s="9" t="str">
        <f t="shared" ref="L16:L79" si="5">IFERROR(IF(AND(B16="売",I16="負"),(E16-H16),IF(AND(B16="買",I16="負"),(H16-E16),""))*100,"")</f>
        <v/>
      </c>
      <c r="M16" s="10" t="str">
        <f t="shared" ref="M16:M79" si="6">IFERROR(IF(L16&lt;=1,L16*C16*100,""),"")</f>
        <v/>
      </c>
      <c r="N16" s="4">
        <f t="shared" si="1"/>
        <v>117911.52844621142</v>
      </c>
      <c r="O16" s="5">
        <f t="shared" si="0"/>
        <v>1.3446327683615715</v>
      </c>
      <c r="S16">
        <f t="shared" si="2"/>
        <v>-4.1500000000000057</v>
      </c>
    </row>
    <row r="17" spans="1:21" x14ac:dyDescent="0.15">
      <c r="A17" s="60">
        <v>4</v>
      </c>
      <c r="B17" s="60" t="s">
        <v>120</v>
      </c>
      <c r="C17" s="3">
        <f>IFERROR(ABS(N15*$L$2/(E17-F17)/10000),"")</f>
        <v>0.36343269439029446</v>
      </c>
      <c r="D17" s="51">
        <v>42115</v>
      </c>
      <c r="E17" s="60">
        <v>203.81</v>
      </c>
      <c r="F17" s="60">
        <v>205.33</v>
      </c>
      <c r="G17" s="51">
        <v>42134</v>
      </c>
      <c r="H17" s="60">
        <v>199.19</v>
      </c>
      <c r="I17" s="60" t="s">
        <v>122</v>
      </c>
      <c r="J17" s="8">
        <f t="shared" si="3"/>
        <v>462.00000000000045</v>
      </c>
      <c r="K17" s="8">
        <f t="shared" si="4"/>
        <v>16790.590480831619</v>
      </c>
      <c r="L17" s="9" t="str">
        <f t="shared" si="5"/>
        <v/>
      </c>
      <c r="M17" s="10" t="str">
        <f t="shared" si="6"/>
        <v/>
      </c>
      <c r="N17" s="4">
        <f t="shared" si="1"/>
        <v>134702.11892704305</v>
      </c>
      <c r="O17" s="5">
        <f t="shared" si="0"/>
        <v>3.0394736842105088</v>
      </c>
      <c r="S17">
        <f t="shared" si="2"/>
        <v>6.1400000000000148</v>
      </c>
    </row>
    <row r="18" spans="1:21" x14ac:dyDescent="0.15">
      <c r="A18" s="60">
        <v>5</v>
      </c>
      <c r="B18" s="60" t="s">
        <v>119</v>
      </c>
      <c r="C18" s="3">
        <f t="shared" ref="C18:C68" si="7">IFERROR(ABS(N17*$L$2/(E18-F18)/10000),"")</f>
        <v>0.45507472610487831</v>
      </c>
      <c r="D18" s="51">
        <v>42136</v>
      </c>
      <c r="E18" s="60">
        <v>199.23</v>
      </c>
      <c r="F18" s="60">
        <v>197.75</v>
      </c>
      <c r="G18" s="51">
        <v>42140</v>
      </c>
      <c r="H18" s="60">
        <v>197.95</v>
      </c>
      <c r="I18" s="60" t="s">
        <v>123</v>
      </c>
      <c r="J18" s="8" t="str">
        <f t="shared" si="3"/>
        <v/>
      </c>
      <c r="K18" s="8" t="str">
        <f t="shared" si="4"/>
        <v/>
      </c>
      <c r="L18" s="9">
        <f t="shared" si="5"/>
        <v>-128.00000000000011</v>
      </c>
      <c r="M18" s="10">
        <f t="shared" si="6"/>
        <v>-5824.9564941424478</v>
      </c>
      <c r="N18" s="4">
        <f t="shared" si="1"/>
        <v>128877.1624329006</v>
      </c>
      <c r="O18" s="5"/>
      <c r="S18">
        <f t="shared" si="2"/>
        <v>-0.19999999999998863</v>
      </c>
    </row>
    <row r="19" spans="1:21" x14ac:dyDescent="0.15">
      <c r="A19" s="60">
        <v>6</v>
      </c>
      <c r="B19" s="60" t="s">
        <v>120</v>
      </c>
      <c r="C19" s="3">
        <f t="shared" si="7"/>
        <v>0.47035460741934365</v>
      </c>
      <c r="D19" s="51">
        <v>42150</v>
      </c>
      <c r="E19" s="60">
        <v>196.29</v>
      </c>
      <c r="F19" s="60">
        <v>197.66</v>
      </c>
      <c r="G19" s="51">
        <v>42163</v>
      </c>
      <c r="H19" s="60">
        <v>195.68</v>
      </c>
      <c r="I19" s="60" t="s">
        <v>122</v>
      </c>
      <c r="J19" s="8">
        <f>IFERROR(IF(AND(B19="売",I19="勝"),ABS(E19-H19),IF(AND(B19="買",I19="勝"),ABS(E19-H19),""))*100,"")</f>
        <v>60.999999999998522</v>
      </c>
      <c r="K19" s="8">
        <f>IFERROR(IF(J19&gt;=1,J19*C19*100,""),"")</f>
        <v>2869.1631052579269</v>
      </c>
      <c r="L19" s="9" t="str">
        <f t="shared" si="5"/>
        <v/>
      </c>
      <c r="M19" s="10" t="str">
        <f t="shared" si="6"/>
        <v/>
      </c>
      <c r="N19" s="4">
        <f t="shared" si="1"/>
        <v>131746.32553815853</v>
      </c>
      <c r="O19" s="5">
        <f t="shared" si="0"/>
        <v>0.44525547445254249</v>
      </c>
      <c r="S19">
        <f t="shared" si="2"/>
        <v>1.9799999999999898</v>
      </c>
    </row>
    <row r="20" spans="1:21" x14ac:dyDescent="0.15">
      <c r="A20" s="60">
        <v>7</v>
      </c>
      <c r="B20" s="60" t="s">
        <v>119</v>
      </c>
      <c r="C20" s="3">
        <f t="shared" si="7"/>
        <v>0.3944500764615555</v>
      </c>
      <c r="D20" s="51">
        <v>42165</v>
      </c>
      <c r="E20" s="60">
        <v>196.89</v>
      </c>
      <c r="F20" s="60">
        <v>195.22</v>
      </c>
      <c r="G20" s="51">
        <v>42186</v>
      </c>
      <c r="H20" s="60">
        <v>197.61</v>
      </c>
      <c r="I20" s="60" t="s">
        <v>122</v>
      </c>
      <c r="J20" s="8">
        <f t="shared" ref="J20" si="8">IFERROR(IF(AND(B20="売",I20="勝"),ABS(E20-H20),IF(AND(B20="買",I20="勝"),ABS(E20-H20),""))*100,"")</f>
        <v>72.000000000002728</v>
      </c>
      <c r="K20" s="8">
        <f t="shared" ref="K20" si="9">IFERROR(IF(J20&gt;=1,J20*C20*100,""),"")</f>
        <v>2840.040550523307</v>
      </c>
      <c r="L20" s="9" t="str">
        <f t="shared" si="5"/>
        <v/>
      </c>
      <c r="M20" s="10" t="str">
        <f t="shared" si="6"/>
        <v/>
      </c>
      <c r="N20" s="4">
        <f t="shared" si="1"/>
        <v>134586.36608868185</v>
      </c>
      <c r="O20" s="5">
        <f t="shared" si="0"/>
        <v>0.43113772455091776</v>
      </c>
      <c r="S20">
        <f t="shared" si="2"/>
        <v>-2.3900000000000148</v>
      </c>
    </row>
    <row r="21" spans="1:21" x14ac:dyDescent="0.15">
      <c r="A21" s="60">
        <v>8</v>
      </c>
      <c r="B21" s="60" t="s">
        <v>120</v>
      </c>
      <c r="C21" s="3">
        <f t="shared" si="7"/>
        <v>0.44271830950224833</v>
      </c>
      <c r="D21" s="51">
        <v>42231</v>
      </c>
      <c r="E21" s="60">
        <v>197.49</v>
      </c>
      <c r="F21" s="60">
        <v>199.01</v>
      </c>
      <c r="G21" s="51">
        <v>42234</v>
      </c>
      <c r="H21" s="60">
        <v>199.01</v>
      </c>
      <c r="I21" s="60" t="s">
        <v>123</v>
      </c>
      <c r="J21" s="8" t="str">
        <f>IFERROR(IF(AND(B21="売",I21="勝"),ABS(E21-H21),IF(AND(B21="買",I21="勝"),ABS(E21-H21),""))*100,"")</f>
        <v/>
      </c>
      <c r="K21" s="8" t="str">
        <f>IFERROR(IF(J21&gt;=1,J21*C21*100,""),"")</f>
        <v/>
      </c>
      <c r="L21" s="9">
        <f t="shared" si="5"/>
        <v>-151.99999999999818</v>
      </c>
      <c r="M21" s="10">
        <f t="shared" si="6"/>
        <v>-6729.3183044340931</v>
      </c>
      <c r="N21" s="4">
        <f t="shared" si="1"/>
        <v>127857.04778424776</v>
      </c>
      <c r="O21" s="5"/>
      <c r="S21">
        <f t="shared" si="2"/>
        <v>0</v>
      </c>
    </row>
    <row r="22" spans="1:21" x14ac:dyDescent="0.15">
      <c r="A22" s="60">
        <v>9</v>
      </c>
      <c r="B22" s="60" t="s">
        <v>120</v>
      </c>
      <c r="C22" s="3">
        <f t="shared" si="7"/>
        <v>0.2598720483419692</v>
      </c>
      <c r="D22" s="51">
        <v>42269</v>
      </c>
      <c r="E22" s="60">
        <v>199.55</v>
      </c>
      <c r="F22" s="60">
        <v>202.01</v>
      </c>
      <c r="G22" s="51">
        <v>42283</v>
      </c>
      <c r="H22" s="60">
        <v>202.01</v>
      </c>
      <c r="I22" s="60" t="s">
        <v>123</v>
      </c>
      <c r="J22" s="8" t="str">
        <f t="shared" ref="J22:J23" si="10">IFERROR(IF(AND(B22="売",I22="勝"),ABS(E22-H22),IF(AND(B22="買",I22="勝"),ABS(E22-H22),""))*100,"")</f>
        <v/>
      </c>
      <c r="K22" s="8" t="str">
        <f t="shared" ref="K22:K23" si="11">IFERROR(IF(J22&gt;=1,J22*C22*100,""),"")</f>
        <v/>
      </c>
      <c r="L22" s="9">
        <f t="shared" si="5"/>
        <v>-245.99999999999795</v>
      </c>
      <c r="M22" s="10">
        <f t="shared" si="6"/>
        <v>-6392.8523892123894</v>
      </c>
      <c r="N22" s="4">
        <f t="shared" si="1"/>
        <v>121464.19539503536</v>
      </c>
      <c r="O22" s="5"/>
      <c r="S22">
        <f t="shared" si="2"/>
        <v>0</v>
      </c>
    </row>
    <row r="23" spans="1:21" x14ac:dyDescent="0.15">
      <c r="A23" s="60">
        <v>10</v>
      </c>
      <c r="B23" s="60" t="s">
        <v>120</v>
      </c>
      <c r="C23" s="3">
        <f t="shared" si="7"/>
        <v>0.66738568898369244</v>
      </c>
      <c r="D23" s="51">
        <v>42284</v>
      </c>
      <c r="E23" s="60">
        <v>200.7</v>
      </c>
      <c r="F23" s="60">
        <v>201.61</v>
      </c>
      <c r="G23" s="51">
        <v>42289</v>
      </c>
      <c r="H23" s="60">
        <v>200.45</v>
      </c>
      <c r="I23" s="60" t="s">
        <v>122</v>
      </c>
      <c r="J23" s="8">
        <f t="shared" si="10"/>
        <v>25</v>
      </c>
      <c r="K23" s="8">
        <f t="shared" si="11"/>
        <v>1668.464222459231</v>
      </c>
      <c r="L23" s="9" t="str">
        <f t="shared" si="5"/>
        <v/>
      </c>
      <c r="M23" s="10" t="str">
        <f t="shared" si="6"/>
        <v/>
      </c>
      <c r="N23" s="4">
        <f t="shared" si="1"/>
        <v>123132.65961749459</v>
      </c>
      <c r="O23" s="5">
        <f t="shared" si="0"/>
        <v>0.2747252747252672</v>
      </c>
      <c r="P23" t="s">
        <v>168</v>
      </c>
      <c r="Q23" s="11">
        <f>AVERAGE(O14:O26)</f>
        <v>1.4536900020345616</v>
      </c>
      <c r="S23">
        <f t="shared" si="2"/>
        <v>1.160000000000025</v>
      </c>
    </row>
    <row r="24" spans="1:21" x14ac:dyDescent="0.15">
      <c r="A24" s="60">
        <v>11</v>
      </c>
      <c r="B24" s="60" t="s">
        <v>119</v>
      </c>
      <c r="C24" s="3">
        <f t="shared" si="7"/>
        <v>0.58081443215799211</v>
      </c>
      <c r="D24" s="51">
        <v>42289</v>
      </c>
      <c r="E24" s="60">
        <v>200.58</v>
      </c>
      <c r="F24" s="60">
        <v>199.52</v>
      </c>
      <c r="G24" s="51">
        <v>42315</v>
      </c>
      <c r="H24" s="60">
        <v>205.8</v>
      </c>
      <c r="I24" s="60" t="s">
        <v>122</v>
      </c>
      <c r="J24" s="8">
        <f>IFERROR(IF(AND(B24="売",I24="勝"),ABS(E24-H24),IF(AND(B24="買",I24="勝"),ABS(E24-H24),""))*100,"")</f>
        <v>521.99999999999989</v>
      </c>
      <c r="K24" s="8">
        <f>IFERROR(IF(J24&gt;=1,J24*C24*100,""),"")</f>
        <v>30318.513358647182</v>
      </c>
      <c r="L24" s="9" t="str">
        <f t="shared" si="5"/>
        <v/>
      </c>
      <c r="M24" s="10" t="str">
        <f t="shared" si="6"/>
        <v/>
      </c>
      <c r="N24" s="4">
        <f t="shared" si="1"/>
        <v>153451.17297614177</v>
      </c>
      <c r="O24" s="5">
        <f t="shared" si="0"/>
        <v>4.9245283018867809</v>
      </c>
      <c r="P24" t="s">
        <v>166</v>
      </c>
      <c r="Q24" s="77">
        <f>COUNTIF(K14:K26,"&gt;0")/COUNTIF(N14:N26,"&gt;0")</f>
        <v>0.69230769230769229</v>
      </c>
      <c r="S24">
        <f t="shared" si="2"/>
        <v>-6.2800000000000011</v>
      </c>
    </row>
    <row r="25" spans="1:21" x14ac:dyDescent="0.15">
      <c r="A25" s="60">
        <v>12</v>
      </c>
      <c r="B25" s="60" t="s">
        <v>120</v>
      </c>
      <c r="C25" s="3">
        <f t="shared" si="7"/>
        <v>0.27304479177249402</v>
      </c>
      <c r="D25" s="51">
        <v>42324</v>
      </c>
      <c r="E25" s="60">
        <v>204.14</v>
      </c>
      <c r="F25" s="60">
        <v>206.95</v>
      </c>
      <c r="G25" s="51">
        <v>42338</v>
      </c>
      <c r="H25" s="60">
        <v>206.95</v>
      </c>
      <c r="I25" s="60" t="s">
        <v>123</v>
      </c>
      <c r="J25" s="8" t="str">
        <f t="shared" ref="J25:J88" si="12">IFERROR(IF(AND(B25="売",I25="勝"),ABS(E25-H25),IF(AND(B25="買",I25="勝"),ABS(E25-H25),""))*100,"")</f>
        <v/>
      </c>
      <c r="K25" s="8" t="str">
        <f t="shared" ref="K25:K88" si="13">IFERROR(IF(J25&gt;=1,J25*C25*100,""),"")</f>
        <v/>
      </c>
      <c r="L25" s="9">
        <f t="shared" si="5"/>
        <v>-281.00000000000023</v>
      </c>
      <c r="M25" s="10">
        <f t="shared" si="6"/>
        <v>-7672.5586488070885</v>
      </c>
      <c r="N25" s="4">
        <f t="shared" si="1"/>
        <v>145778.61432733468</v>
      </c>
      <c r="O25" s="5"/>
      <c r="P25" t="s">
        <v>161</v>
      </c>
      <c r="Q25" s="77">
        <f>Q26/J2</f>
        <v>0.4961805108328094</v>
      </c>
      <c r="S25">
        <f t="shared" si="2"/>
        <v>0</v>
      </c>
    </row>
    <row r="26" spans="1:21" x14ac:dyDescent="0.15">
      <c r="A26" s="60">
        <v>13</v>
      </c>
      <c r="B26" s="60" t="s">
        <v>119</v>
      </c>
      <c r="C26" s="3">
        <f t="shared" si="7"/>
        <v>0.29995599655830096</v>
      </c>
      <c r="D26" s="51">
        <v>42338</v>
      </c>
      <c r="E26" s="60">
        <v>207.57</v>
      </c>
      <c r="F26" s="60">
        <v>205.14</v>
      </c>
      <c r="G26" s="51">
        <v>42352</v>
      </c>
      <c r="H26" s="60">
        <v>208.85</v>
      </c>
      <c r="I26" s="60" t="s">
        <v>122</v>
      </c>
      <c r="J26" s="8">
        <f t="shared" si="12"/>
        <v>128.00000000000011</v>
      </c>
      <c r="K26" s="8">
        <f t="shared" si="13"/>
        <v>3839.4367559462557</v>
      </c>
      <c r="L26" s="9" t="str">
        <f t="shared" si="5"/>
        <v/>
      </c>
      <c r="M26" s="10" t="str">
        <f t="shared" si="6"/>
        <v/>
      </c>
      <c r="N26" s="4">
        <f t="shared" si="1"/>
        <v>149618.05108328094</v>
      </c>
      <c r="O26" s="5">
        <f t="shared" si="0"/>
        <v>0.52674897119341457</v>
      </c>
      <c r="P26" t="s">
        <v>160</v>
      </c>
      <c r="Q26" s="72">
        <f>N26-J2</f>
        <v>49618.051083280938</v>
      </c>
      <c r="S26">
        <f t="shared" si="2"/>
        <v>-3.710000000000008</v>
      </c>
    </row>
    <row r="27" spans="1:21" x14ac:dyDescent="0.15">
      <c r="A27" s="60"/>
      <c r="C27" s="3"/>
      <c r="D27" s="59" t="s">
        <v>124</v>
      </c>
      <c r="E27" s="60"/>
      <c r="F27" s="60"/>
      <c r="H27" s="60"/>
      <c r="I27" s="60"/>
      <c r="J27" s="8"/>
      <c r="K27" s="8"/>
      <c r="L27" s="9"/>
      <c r="M27" s="10"/>
      <c r="N27" s="4"/>
      <c r="O27" s="5"/>
    </row>
    <row r="28" spans="1:21" x14ac:dyDescent="0.15">
      <c r="A28" s="60">
        <v>14</v>
      </c>
      <c r="B28" s="60" t="s">
        <v>119</v>
      </c>
      <c r="C28" s="3">
        <f>IFERROR(ABS(N26*$L$2/(E28-F28)/10000),"")</f>
        <v>0.3613962586552692</v>
      </c>
      <c r="D28" s="51">
        <v>42017</v>
      </c>
      <c r="E28" s="60">
        <v>203.2</v>
      </c>
      <c r="F28" s="60">
        <v>201.13</v>
      </c>
      <c r="G28" s="51">
        <v>42042</v>
      </c>
      <c r="H28" s="60">
        <v>206.96</v>
      </c>
      <c r="I28" s="60" t="s">
        <v>122</v>
      </c>
      <c r="J28" s="8">
        <f t="shared" si="12"/>
        <v>376.00000000000193</v>
      </c>
      <c r="K28" s="8">
        <f t="shared" si="13"/>
        <v>13588.499325438192</v>
      </c>
      <c r="L28" s="9" t="str">
        <f t="shared" si="5"/>
        <v/>
      </c>
      <c r="M28" s="10" t="str">
        <f t="shared" si="6"/>
        <v/>
      </c>
      <c r="N28" s="4">
        <f>IF(I28="ー",N26+0,IF(M28&lt;1,M28+N26,K28+N26))</f>
        <v>163206.55040871914</v>
      </c>
      <c r="O28" s="5">
        <f t="shared" si="0"/>
        <v>1.8164251207729623</v>
      </c>
      <c r="S28">
        <f t="shared" si="2"/>
        <v>-5.8300000000000125</v>
      </c>
    </row>
    <row r="29" spans="1:21" x14ac:dyDescent="0.15">
      <c r="A29" s="60">
        <v>15</v>
      </c>
      <c r="B29" s="60" t="s">
        <v>120</v>
      </c>
      <c r="C29" s="3">
        <f t="shared" si="7"/>
        <v>0.31629176435798129</v>
      </c>
      <c r="D29" s="51">
        <v>42045</v>
      </c>
      <c r="E29" s="60">
        <v>204.75</v>
      </c>
      <c r="F29" s="60">
        <v>207.33</v>
      </c>
      <c r="G29" s="51">
        <v>42056</v>
      </c>
      <c r="H29" s="60">
        <v>207.33</v>
      </c>
      <c r="I29" s="60" t="s">
        <v>123</v>
      </c>
      <c r="J29" s="8" t="str">
        <f t="shared" si="12"/>
        <v/>
      </c>
      <c r="K29" s="8" t="str">
        <f t="shared" si="13"/>
        <v/>
      </c>
      <c r="L29" s="9">
        <f t="shared" si="5"/>
        <v>-258.00000000000125</v>
      </c>
      <c r="M29" s="10">
        <f t="shared" si="6"/>
        <v>-8160.3275204359561</v>
      </c>
      <c r="N29" s="4">
        <f t="shared" si="1"/>
        <v>155046.22288828317</v>
      </c>
      <c r="O29" s="5"/>
      <c r="S29">
        <f t="shared" si="2"/>
        <v>0</v>
      </c>
    </row>
    <row r="30" spans="1:21" x14ac:dyDescent="0.15">
      <c r="A30" s="60">
        <v>16</v>
      </c>
      <c r="B30" s="60" t="s">
        <v>120</v>
      </c>
      <c r="C30" s="3">
        <f t="shared" si="7"/>
        <v>0.34454716197396262</v>
      </c>
      <c r="D30" s="51">
        <v>42080</v>
      </c>
      <c r="E30" s="60">
        <v>203.18</v>
      </c>
      <c r="F30" s="60">
        <v>205.43</v>
      </c>
      <c r="G30" s="51">
        <v>42087</v>
      </c>
      <c r="H30" s="60">
        <v>205.43</v>
      </c>
      <c r="I30" s="60" t="s">
        <v>123</v>
      </c>
      <c r="J30" s="8" t="str">
        <f t="shared" si="12"/>
        <v/>
      </c>
      <c r="K30" s="8" t="str">
        <f t="shared" si="13"/>
        <v/>
      </c>
      <c r="L30" s="9">
        <f t="shared" si="5"/>
        <v>-225</v>
      </c>
      <c r="M30" s="10">
        <f t="shared" si="6"/>
        <v>-7752.3111444141596</v>
      </c>
      <c r="N30" s="4">
        <f t="shared" si="1"/>
        <v>147293.91174386902</v>
      </c>
      <c r="O30" s="5"/>
      <c r="S30">
        <f t="shared" si="2"/>
        <v>0</v>
      </c>
    </row>
    <row r="31" spans="1:21" x14ac:dyDescent="0.15">
      <c r="A31" s="60">
        <v>17</v>
      </c>
      <c r="B31" s="60" t="s">
        <v>119</v>
      </c>
      <c r="C31" s="3">
        <f t="shared" si="7"/>
        <v>0.27583129540050216</v>
      </c>
      <c r="D31" s="51">
        <v>42090</v>
      </c>
      <c r="E31" s="60">
        <v>205.8</v>
      </c>
      <c r="F31" s="60">
        <v>203.13</v>
      </c>
      <c r="G31" s="51">
        <v>42115</v>
      </c>
      <c r="H31" s="60">
        <v>207.55</v>
      </c>
      <c r="I31" s="60" t="s">
        <v>122</v>
      </c>
      <c r="J31" s="8">
        <f t="shared" si="12"/>
        <v>175</v>
      </c>
      <c r="K31" s="8">
        <f t="shared" si="13"/>
        <v>4827.0476695087882</v>
      </c>
      <c r="L31" s="9" t="str">
        <f t="shared" si="5"/>
        <v/>
      </c>
      <c r="M31" s="10" t="str">
        <f t="shared" si="6"/>
        <v/>
      </c>
      <c r="N31" s="4">
        <f t="shared" si="1"/>
        <v>152120.9594133778</v>
      </c>
      <c r="O31" s="5">
        <f t="shared" si="0"/>
        <v>0.65543071161048294</v>
      </c>
      <c r="R31" s="32"/>
      <c r="S31">
        <f t="shared" si="2"/>
        <v>-4.4200000000000159</v>
      </c>
      <c r="T31" s="32"/>
      <c r="U31" s="32"/>
    </row>
    <row r="32" spans="1:21" x14ac:dyDescent="0.15">
      <c r="A32" s="60">
        <v>18</v>
      </c>
      <c r="B32" s="60" t="s">
        <v>119</v>
      </c>
      <c r="C32" s="3">
        <f t="shared" si="7"/>
        <v>0.28810787767685336</v>
      </c>
      <c r="D32" s="51">
        <v>42135</v>
      </c>
      <c r="E32" s="60">
        <v>208.44</v>
      </c>
      <c r="F32" s="60">
        <v>205.8</v>
      </c>
      <c r="G32" s="51">
        <v>42184</v>
      </c>
      <c r="H32" s="60">
        <v>210.87</v>
      </c>
      <c r="I32" s="60" t="s">
        <v>122</v>
      </c>
      <c r="J32" s="8">
        <f t="shared" si="12"/>
        <v>243.00000000000068</v>
      </c>
      <c r="K32" s="8">
        <f t="shared" si="13"/>
        <v>7001.0214275475564</v>
      </c>
      <c r="L32" s="9" t="str">
        <f t="shared" si="5"/>
        <v/>
      </c>
      <c r="M32" s="10" t="str">
        <f t="shared" si="6"/>
        <v/>
      </c>
      <c r="N32" s="4">
        <f t="shared" si="1"/>
        <v>159121.98084092536</v>
      </c>
      <c r="O32" s="5">
        <f t="shared" si="0"/>
        <v>0.92045454545455274</v>
      </c>
      <c r="S32">
        <f t="shared" si="2"/>
        <v>-5.0699999999999932</v>
      </c>
    </row>
    <row r="33" spans="1:19" x14ac:dyDescent="0.15">
      <c r="A33" s="60">
        <v>19</v>
      </c>
      <c r="B33" s="60" t="s">
        <v>119</v>
      </c>
      <c r="C33" s="3">
        <f t="shared" si="7"/>
        <v>0.31078511882993554</v>
      </c>
      <c r="D33" s="51">
        <v>42154</v>
      </c>
      <c r="E33" s="60">
        <v>211.39</v>
      </c>
      <c r="F33" s="60">
        <v>208.83</v>
      </c>
      <c r="G33" s="51">
        <v>42164</v>
      </c>
      <c r="H33" s="60">
        <v>209.87</v>
      </c>
      <c r="I33" s="60" t="s">
        <v>123</v>
      </c>
      <c r="J33" s="8" t="str">
        <f t="shared" si="12"/>
        <v/>
      </c>
      <c r="K33" s="8" t="str">
        <f t="shared" si="13"/>
        <v/>
      </c>
      <c r="L33" s="9">
        <f t="shared" si="5"/>
        <v>-151.99999999999818</v>
      </c>
      <c r="M33" s="10">
        <f t="shared" si="6"/>
        <v>-4723.9338062149636</v>
      </c>
      <c r="N33" s="4">
        <f t="shared" si="1"/>
        <v>154398.04703471038</v>
      </c>
      <c r="O33" s="5"/>
      <c r="S33">
        <f t="shared" si="2"/>
        <v>-1.039999999999992</v>
      </c>
    </row>
    <row r="34" spans="1:19" x14ac:dyDescent="0.15">
      <c r="A34" s="60">
        <v>20</v>
      </c>
      <c r="B34" s="44" t="s">
        <v>119</v>
      </c>
      <c r="C34" s="3">
        <f t="shared" si="7"/>
        <v>0.8212662076314402</v>
      </c>
      <c r="D34" s="54">
        <v>42196</v>
      </c>
      <c r="E34" s="44">
        <v>210.95</v>
      </c>
      <c r="F34" s="44">
        <v>210.01</v>
      </c>
      <c r="G34" s="54">
        <v>42236</v>
      </c>
      <c r="H34" s="44">
        <v>217.98</v>
      </c>
      <c r="I34" s="44" t="s">
        <v>122</v>
      </c>
      <c r="J34" s="8">
        <f t="shared" si="12"/>
        <v>703.00000000000011</v>
      </c>
      <c r="K34" s="8">
        <f t="shared" si="13"/>
        <v>57735.01439649026</v>
      </c>
      <c r="L34" s="9" t="str">
        <f t="shared" si="5"/>
        <v/>
      </c>
      <c r="M34" s="10" t="str">
        <f t="shared" si="6"/>
        <v/>
      </c>
      <c r="N34" s="4">
        <f t="shared" si="1"/>
        <v>212133.06143120065</v>
      </c>
      <c r="O34" s="5">
        <f t="shared" si="0"/>
        <v>7.4787234042553381</v>
      </c>
      <c r="P34" t="s">
        <v>168</v>
      </c>
      <c r="Q34" s="11">
        <f>AVERAGE(O28:O37)</f>
        <v>2.814642019518649</v>
      </c>
      <c r="S34">
        <f t="shared" si="2"/>
        <v>-7.9699999999999989</v>
      </c>
    </row>
    <row r="35" spans="1:19" x14ac:dyDescent="0.15">
      <c r="A35" s="60">
        <v>21</v>
      </c>
      <c r="B35" s="44" t="s">
        <v>119</v>
      </c>
      <c r="C35" s="3">
        <f t="shared" si="7"/>
        <v>0.49333270100279097</v>
      </c>
      <c r="D35" s="54">
        <v>42237</v>
      </c>
      <c r="E35" s="44">
        <v>219.83</v>
      </c>
      <c r="F35" s="44">
        <v>217.68</v>
      </c>
      <c r="G35" s="54">
        <v>42251</v>
      </c>
      <c r="H35" s="44">
        <v>220.91</v>
      </c>
      <c r="I35" s="44" t="s">
        <v>122</v>
      </c>
      <c r="J35" s="8">
        <f t="shared" si="12"/>
        <v>107.99999999999841</v>
      </c>
      <c r="K35" s="8">
        <f t="shared" si="13"/>
        <v>5327.9931708300637</v>
      </c>
      <c r="L35" s="9" t="str">
        <f t="shared" si="5"/>
        <v/>
      </c>
      <c r="M35" s="10" t="str">
        <f t="shared" si="6"/>
        <v/>
      </c>
      <c r="N35" s="4">
        <f t="shared" si="1"/>
        <v>217461.05460203072</v>
      </c>
      <c r="O35" s="5">
        <f t="shared" si="0"/>
        <v>0.50232558139534011</v>
      </c>
      <c r="P35" t="s">
        <v>166</v>
      </c>
      <c r="Q35" s="77">
        <f>COUNTIF(K28:K37,"&gt;0")/COUNTIF(N28:N37,"&gt;0")</f>
        <v>0.6</v>
      </c>
      <c r="S35">
        <f t="shared" si="2"/>
        <v>-3.2299999999999898</v>
      </c>
    </row>
    <row r="36" spans="1:19" x14ac:dyDescent="0.15">
      <c r="A36" s="60">
        <v>22</v>
      </c>
      <c r="B36" s="44" t="s">
        <v>119</v>
      </c>
      <c r="C36" s="3">
        <f t="shared" si="7"/>
        <v>0.68816789431023084</v>
      </c>
      <c r="D36" s="54">
        <v>42283</v>
      </c>
      <c r="E36" s="44">
        <v>222.66</v>
      </c>
      <c r="F36" s="44">
        <v>221.08</v>
      </c>
      <c r="G36" s="54">
        <v>42322</v>
      </c>
      <c r="H36" s="44">
        <v>222.42</v>
      </c>
      <c r="I36" s="44" t="s">
        <v>123</v>
      </c>
      <c r="J36" s="8" t="str">
        <f t="shared" si="12"/>
        <v/>
      </c>
      <c r="K36" s="8" t="str">
        <f t="shared" si="13"/>
        <v/>
      </c>
      <c r="L36" s="9">
        <f t="shared" si="5"/>
        <v>-24.000000000000909</v>
      </c>
      <c r="M36" s="10">
        <f t="shared" si="6"/>
        <v>-1651.6029463446166</v>
      </c>
      <c r="N36" s="4">
        <f t="shared" si="1"/>
        <v>215809.45165568611</v>
      </c>
      <c r="O36" s="5"/>
      <c r="P36" t="s">
        <v>161</v>
      </c>
      <c r="Q36" s="77">
        <f>Q37/N26</f>
        <v>0.84010841291051308</v>
      </c>
      <c r="S36">
        <f t="shared" si="2"/>
        <v>-1.339999999999975</v>
      </c>
    </row>
    <row r="37" spans="1:19" s="6" customFormat="1" x14ac:dyDescent="0.15">
      <c r="A37" s="60">
        <v>23</v>
      </c>
      <c r="B37" s="44" t="s">
        <v>119</v>
      </c>
      <c r="C37" s="3">
        <f t="shared" si="7"/>
        <v>0.78191830310031463</v>
      </c>
      <c r="D37" s="54">
        <v>42332</v>
      </c>
      <c r="E37" s="44">
        <v>223.94</v>
      </c>
      <c r="F37" s="44">
        <v>222.56</v>
      </c>
      <c r="G37" s="54">
        <v>42008</v>
      </c>
      <c r="H37" s="44">
        <v>231.55</v>
      </c>
      <c r="I37" s="44" t="s">
        <v>122</v>
      </c>
      <c r="J37" s="8">
        <f t="shared" si="12"/>
        <v>761.00000000000136</v>
      </c>
      <c r="K37" s="8">
        <f t="shared" si="13"/>
        <v>59503.982865934049</v>
      </c>
      <c r="L37" s="9" t="str">
        <f t="shared" si="5"/>
        <v/>
      </c>
      <c r="M37" s="10" t="str">
        <f t="shared" si="6"/>
        <v/>
      </c>
      <c r="N37" s="4">
        <f t="shared" si="1"/>
        <v>275313.43452162016</v>
      </c>
      <c r="O37" s="5">
        <f t="shared" si="0"/>
        <v>5.5144927536232169</v>
      </c>
      <c r="P37" t="s">
        <v>160</v>
      </c>
      <c r="Q37" s="71">
        <f>N37-N26</f>
        <v>125695.38343833922</v>
      </c>
      <c r="S37">
        <f t="shared" si="2"/>
        <v>-8.9900000000000091</v>
      </c>
    </row>
    <row r="38" spans="1:19" s="6" customFormat="1" x14ac:dyDescent="0.15">
      <c r="A38" s="60"/>
      <c r="B38" s="44"/>
      <c r="C38" s="3"/>
      <c r="D38" s="59" t="s">
        <v>155</v>
      </c>
      <c r="E38" s="44"/>
      <c r="F38" s="44"/>
      <c r="G38" s="54"/>
      <c r="H38" s="44"/>
      <c r="I38" s="44"/>
      <c r="J38" s="8"/>
      <c r="K38" s="8"/>
      <c r="L38" s="9"/>
      <c r="M38" s="10"/>
      <c r="N38" s="4"/>
      <c r="O38" s="5"/>
      <c r="S38"/>
    </row>
    <row r="39" spans="1:19" x14ac:dyDescent="0.15">
      <c r="A39" s="60">
        <v>24</v>
      </c>
      <c r="B39" s="44" t="s">
        <v>119</v>
      </c>
      <c r="C39" s="3">
        <f>IFERROR(ABS(N37*$L$2/(E39-F39)/10000),"")</f>
        <v>0.34500430391180392</v>
      </c>
      <c r="D39" s="54">
        <v>42015</v>
      </c>
      <c r="E39" s="44">
        <v>234.84</v>
      </c>
      <c r="F39" s="44">
        <v>230.85</v>
      </c>
      <c r="G39" s="54">
        <v>42028</v>
      </c>
      <c r="H39" s="44">
        <v>237.43</v>
      </c>
      <c r="I39" s="44" t="s">
        <v>122</v>
      </c>
      <c r="J39" s="8">
        <f t="shared" si="12"/>
        <v>259.00000000000034</v>
      </c>
      <c r="K39" s="8">
        <f t="shared" si="13"/>
        <v>8935.6114713157331</v>
      </c>
      <c r="L39" s="9" t="str">
        <f t="shared" si="5"/>
        <v/>
      </c>
      <c r="M39" s="10" t="str">
        <f t="shared" si="6"/>
        <v/>
      </c>
      <c r="N39" s="4">
        <f>IF(I39="ー",N37+0,IF(M39&lt;1,M39+N37,K39+N37))</f>
        <v>284249.04599293589</v>
      </c>
      <c r="O39" s="5">
        <f t="shared" si="0"/>
        <v>0.64912280701754321</v>
      </c>
      <c r="S39">
        <f t="shared" si="2"/>
        <v>-6.5800000000000125</v>
      </c>
    </row>
    <row r="40" spans="1:19" x14ac:dyDescent="0.15">
      <c r="A40" s="60">
        <v>25</v>
      </c>
      <c r="B40" s="44" t="s">
        <v>120</v>
      </c>
      <c r="C40" s="3">
        <f t="shared" si="7"/>
        <v>0.36164000762459975</v>
      </c>
      <c r="D40" s="54">
        <v>42028</v>
      </c>
      <c r="E40" s="44">
        <v>237.47</v>
      </c>
      <c r="F40" s="44">
        <v>241.4</v>
      </c>
      <c r="G40" s="54">
        <v>42043</v>
      </c>
      <c r="H40" s="44">
        <v>238.79</v>
      </c>
      <c r="I40" s="44" t="s">
        <v>123</v>
      </c>
      <c r="J40" s="8" t="str">
        <f t="shared" si="12"/>
        <v/>
      </c>
      <c r="K40" s="8" t="str">
        <f t="shared" si="13"/>
        <v/>
      </c>
      <c r="L40" s="9">
        <f t="shared" si="5"/>
        <v>-131.99999999999932</v>
      </c>
      <c r="M40" s="10">
        <f t="shared" si="6"/>
        <v>-4773.648100644692</v>
      </c>
      <c r="N40" s="4">
        <f t="shared" si="1"/>
        <v>279475.39789229119</v>
      </c>
      <c r="O40" s="5"/>
      <c r="S40">
        <f t="shared" si="2"/>
        <v>2.6100000000000136</v>
      </c>
    </row>
    <row r="41" spans="1:19" x14ac:dyDescent="0.15">
      <c r="A41" s="60">
        <v>26</v>
      </c>
      <c r="B41" s="44" t="s">
        <v>119</v>
      </c>
      <c r="C41" s="3">
        <f t="shared" si="7"/>
        <v>0.36967645223848034</v>
      </c>
      <c r="D41" s="54">
        <v>42082</v>
      </c>
      <c r="E41" s="44">
        <v>229.13</v>
      </c>
      <c r="F41" s="44">
        <v>225.35</v>
      </c>
      <c r="G41" s="54">
        <v>42162</v>
      </c>
      <c r="H41" s="44">
        <v>239.74</v>
      </c>
      <c r="I41" s="44" t="s">
        <v>122</v>
      </c>
      <c r="J41" s="8">
        <f t="shared" si="12"/>
        <v>1061.0000000000014</v>
      </c>
      <c r="K41" s="8">
        <f t="shared" si="13"/>
        <v>39222.671582502815</v>
      </c>
      <c r="L41" s="9" t="str">
        <f t="shared" si="5"/>
        <v/>
      </c>
      <c r="M41" s="10" t="str">
        <f t="shared" si="6"/>
        <v/>
      </c>
      <c r="N41" s="4">
        <f t="shared" si="1"/>
        <v>318698.06947479403</v>
      </c>
      <c r="O41" s="5">
        <f t="shared" si="0"/>
        <v>2.8068783068783096</v>
      </c>
      <c r="S41">
        <f t="shared" si="2"/>
        <v>-14.390000000000015</v>
      </c>
    </row>
    <row r="42" spans="1:19" x14ac:dyDescent="0.15">
      <c r="A42" s="60">
        <v>27</v>
      </c>
      <c r="B42" s="60" t="s">
        <v>119</v>
      </c>
      <c r="C42" s="3">
        <f t="shared" si="7"/>
        <v>1.1382073909814256</v>
      </c>
      <c r="D42" s="51">
        <v>42183</v>
      </c>
      <c r="E42" s="60">
        <v>246.76</v>
      </c>
      <c r="F42" s="60">
        <v>245.36</v>
      </c>
      <c r="G42" s="51">
        <v>42195</v>
      </c>
      <c r="H42" s="60">
        <v>246.04</v>
      </c>
      <c r="I42" s="60" t="s">
        <v>123</v>
      </c>
      <c r="J42" s="8" t="str">
        <f t="shared" si="12"/>
        <v/>
      </c>
      <c r="K42" s="8" t="str">
        <f t="shared" si="13"/>
        <v/>
      </c>
      <c r="L42" s="9">
        <f t="shared" si="5"/>
        <v>-71.999999999999886</v>
      </c>
      <c r="M42" s="10">
        <f t="shared" si="6"/>
        <v>-8195.093215066252</v>
      </c>
      <c r="N42" s="4">
        <f t="shared" si="1"/>
        <v>310502.97625972779</v>
      </c>
      <c r="O42" s="5"/>
      <c r="S42">
        <f t="shared" si="2"/>
        <v>-0.6799999999999784</v>
      </c>
    </row>
    <row r="43" spans="1:19" x14ac:dyDescent="0.15">
      <c r="A43" s="60">
        <v>28</v>
      </c>
      <c r="B43" s="60" t="s">
        <v>119</v>
      </c>
      <c r="C43" s="3">
        <f t="shared" si="7"/>
        <v>0.39204921244915331</v>
      </c>
      <c r="D43" s="51">
        <v>42196</v>
      </c>
      <c r="E43" s="60">
        <v>248.95</v>
      </c>
      <c r="F43" s="60">
        <v>244.99</v>
      </c>
      <c r="G43" s="51">
        <v>42209</v>
      </c>
      <c r="H43" s="60">
        <v>247.59</v>
      </c>
      <c r="I43" s="60" t="s">
        <v>123</v>
      </c>
      <c r="J43" s="8" t="str">
        <f t="shared" si="12"/>
        <v/>
      </c>
      <c r="K43" s="8" t="str">
        <f t="shared" si="13"/>
        <v/>
      </c>
      <c r="L43" s="9">
        <f t="shared" si="5"/>
        <v>-135.99999999999852</v>
      </c>
      <c r="M43" s="10">
        <f t="shared" si="6"/>
        <v>-5331.8692893084271</v>
      </c>
      <c r="N43" s="4">
        <f t="shared" si="1"/>
        <v>305171.10697041935</v>
      </c>
      <c r="O43" s="5"/>
      <c r="S43">
        <f t="shared" si="2"/>
        <v>-2.5999999999999943</v>
      </c>
    </row>
    <row r="44" spans="1:19" s="12" customFormat="1" x14ac:dyDescent="0.15">
      <c r="A44" s="60">
        <v>29</v>
      </c>
      <c r="B44" s="60" t="s">
        <v>120</v>
      </c>
      <c r="C44" s="3">
        <f t="shared" si="7"/>
        <v>0.2900866035840477</v>
      </c>
      <c r="D44" s="55">
        <v>42225</v>
      </c>
      <c r="E44" s="7">
        <v>238.98</v>
      </c>
      <c r="F44" s="7">
        <v>244.24</v>
      </c>
      <c r="G44" s="55">
        <v>42236</v>
      </c>
      <c r="H44" s="7">
        <v>228.98</v>
      </c>
      <c r="I44" s="7" t="s">
        <v>122</v>
      </c>
      <c r="J44" s="8">
        <f t="shared" si="12"/>
        <v>1000</v>
      </c>
      <c r="K44" s="8">
        <f t="shared" si="13"/>
        <v>29008.66035840477</v>
      </c>
      <c r="L44" s="9" t="str">
        <f t="shared" si="5"/>
        <v/>
      </c>
      <c r="M44" s="10" t="str">
        <f t="shared" si="6"/>
        <v/>
      </c>
      <c r="N44" s="4">
        <f t="shared" si="1"/>
        <v>334179.76732882415</v>
      </c>
      <c r="O44" s="5">
        <f t="shared" si="0"/>
        <v>1.9011406844106393</v>
      </c>
      <c r="S44">
        <f t="shared" si="2"/>
        <v>15.260000000000019</v>
      </c>
    </row>
    <row r="45" spans="1:19" s="12" customFormat="1" x14ac:dyDescent="0.15">
      <c r="A45" s="60">
        <v>30</v>
      </c>
      <c r="B45" s="60" t="s">
        <v>119</v>
      </c>
      <c r="C45" s="3">
        <f t="shared" si="7"/>
        <v>0.23467680289945503</v>
      </c>
      <c r="D45" s="55">
        <v>42245</v>
      </c>
      <c r="E45" s="7">
        <v>234.53</v>
      </c>
      <c r="F45" s="7">
        <v>227.41</v>
      </c>
      <c r="G45" s="55">
        <v>42293</v>
      </c>
      <c r="H45" s="7">
        <v>237.39</v>
      </c>
      <c r="I45" s="7" t="s">
        <v>122</v>
      </c>
      <c r="J45" s="8">
        <f t="shared" si="12"/>
        <v>285.99999999999852</v>
      </c>
      <c r="K45" s="8">
        <f t="shared" si="13"/>
        <v>6711.7565629243782</v>
      </c>
      <c r="L45" s="9" t="str">
        <f t="shared" si="5"/>
        <v/>
      </c>
      <c r="M45" s="10" t="str">
        <f t="shared" si="6"/>
        <v/>
      </c>
      <c r="N45" s="4">
        <f t="shared" si="1"/>
        <v>340891.52389174851</v>
      </c>
      <c r="O45" s="5">
        <f t="shared" si="0"/>
        <v>0.40168539325842462</v>
      </c>
      <c r="S45">
        <f t="shared" si="2"/>
        <v>-9.9799999999999898</v>
      </c>
    </row>
    <row r="46" spans="1:19" x14ac:dyDescent="0.15">
      <c r="A46" s="60">
        <v>31</v>
      </c>
      <c r="B46" s="60" t="s">
        <v>119</v>
      </c>
      <c r="C46" s="3">
        <f>IFERROR(ABS(N44*$L$2/(E46-F46)/10000),"")</f>
        <v>0.27618162589158968</v>
      </c>
      <c r="D46" s="51">
        <v>42265</v>
      </c>
      <c r="E46" s="7">
        <v>234.25</v>
      </c>
      <c r="F46" s="7">
        <v>228.2</v>
      </c>
      <c r="G46" s="51">
        <v>42293</v>
      </c>
      <c r="H46" s="7">
        <v>237.39</v>
      </c>
      <c r="I46" s="7" t="s">
        <v>122</v>
      </c>
      <c r="J46" s="8">
        <f t="shared" si="12"/>
        <v>313.99999999999864</v>
      </c>
      <c r="K46" s="8">
        <f t="shared" si="13"/>
        <v>8672.1030529958789</v>
      </c>
      <c r="L46" s="9" t="str">
        <f t="shared" si="5"/>
        <v/>
      </c>
      <c r="M46" s="10" t="str">
        <f t="shared" si="6"/>
        <v/>
      </c>
      <c r="N46" s="4">
        <f t="shared" si="1"/>
        <v>349563.62694474438</v>
      </c>
      <c r="O46" s="5">
        <f t="shared" si="0"/>
        <v>0.51900826446280668</v>
      </c>
      <c r="P46" s="12"/>
      <c r="S46">
        <f t="shared" si="2"/>
        <v>-9.1899999999999977</v>
      </c>
    </row>
    <row r="47" spans="1:19" x14ac:dyDescent="0.15">
      <c r="A47" s="60">
        <v>32</v>
      </c>
      <c r="B47" s="60" t="s">
        <v>119</v>
      </c>
      <c r="C47" s="3">
        <f t="shared" si="7"/>
        <v>0.49795388453667422</v>
      </c>
      <c r="D47" s="51">
        <v>42300</v>
      </c>
      <c r="E47" s="7">
        <v>235.84</v>
      </c>
      <c r="F47" s="7">
        <v>232.33</v>
      </c>
      <c r="G47" s="51">
        <v>42317</v>
      </c>
      <c r="H47" s="7">
        <v>235.25</v>
      </c>
      <c r="I47" s="7" t="s">
        <v>123</v>
      </c>
      <c r="J47" s="8" t="str">
        <f t="shared" si="12"/>
        <v/>
      </c>
      <c r="K47" s="8" t="str">
        <f t="shared" si="13"/>
        <v/>
      </c>
      <c r="L47" s="9">
        <f t="shared" si="5"/>
        <v>-59.000000000000341</v>
      </c>
      <c r="M47" s="10">
        <f t="shared" si="6"/>
        <v>-2937.9279187663947</v>
      </c>
      <c r="N47" s="4">
        <f t="shared" si="1"/>
        <v>346625.69902597799</v>
      </c>
      <c r="O47" s="5"/>
      <c r="P47" t="s">
        <v>168</v>
      </c>
      <c r="Q47" s="11">
        <f>AVERAGE(O39:O50)</f>
        <v>2.773813777768066</v>
      </c>
      <c r="S47">
        <f t="shared" si="2"/>
        <v>-2.9199999999999875</v>
      </c>
    </row>
    <row r="48" spans="1:19" x14ac:dyDescent="0.15">
      <c r="A48" s="60">
        <v>33</v>
      </c>
      <c r="B48" s="60" t="s">
        <v>120</v>
      </c>
      <c r="C48" s="3">
        <f t="shared" si="7"/>
        <v>0.57010805760851802</v>
      </c>
      <c r="D48" s="51">
        <v>42315</v>
      </c>
      <c r="E48" s="7">
        <v>236.62</v>
      </c>
      <c r="F48" s="7">
        <v>239.66</v>
      </c>
      <c r="G48" s="51">
        <v>42028</v>
      </c>
      <c r="H48" s="7">
        <v>212.4</v>
      </c>
      <c r="I48" s="7" t="s">
        <v>122</v>
      </c>
      <c r="J48" s="8">
        <f t="shared" si="12"/>
        <v>2422</v>
      </c>
      <c r="K48" s="8">
        <f t="shared" si="13"/>
        <v>138080.17155278305</v>
      </c>
      <c r="L48" s="9" t="str">
        <f t="shared" si="5"/>
        <v/>
      </c>
      <c r="M48" s="10" t="str">
        <f t="shared" si="6"/>
        <v/>
      </c>
      <c r="N48" s="4">
        <f t="shared" si="1"/>
        <v>484705.87057876104</v>
      </c>
      <c r="O48" s="5">
        <f t="shared" si="0"/>
        <v>7.9671052631579151</v>
      </c>
      <c r="P48" t="s">
        <v>166</v>
      </c>
      <c r="Q48" s="77">
        <f>COUNTIF(K39:K50,"&gt;0")/COUNTIF(N39:N50,"&gt;0")</f>
        <v>0.58333333333333337</v>
      </c>
      <c r="S48">
        <f t="shared" si="2"/>
        <v>27.259999999999991</v>
      </c>
    </row>
    <row r="49" spans="1:19" x14ac:dyDescent="0.15">
      <c r="A49" s="60">
        <v>34</v>
      </c>
      <c r="B49" s="60" t="s">
        <v>119</v>
      </c>
      <c r="C49" s="3">
        <f>IFERROR(ABS(N47*$L$2/(E49-F49)/10000),"")</f>
        <v>0.44553431751410888</v>
      </c>
      <c r="D49" s="51">
        <v>42335</v>
      </c>
      <c r="E49" s="7">
        <v>225.81</v>
      </c>
      <c r="F49" s="7">
        <v>221.92</v>
      </c>
      <c r="G49" s="51">
        <v>42358</v>
      </c>
      <c r="H49" s="7">
        <v>223.7</v>
      </c>
      <c r="I49" s="7" t="s">
        <v>123</v>
      </c>
      <c r="J49" s="8" t="str">
        <f t="shared" si="12"/>
        <v/>
      </c>
      <c r="K49" s="8" t="str">
        <f t="shared" si="13"/>
        <v/>
      </c>
      <c r="L49" s="9">
        <f t="shared" si="5"/>
        <v>-211.00000000000136</v>
      </c>
      <c r="M49" s="10">
        <f t="shared" si="6"/>
        <v>-9400.7740995477579</v>
      </c>
      <c r="N49" s="4">
        <f t="shared" si="1"/>
        <v>475305.09647921327</v>
      </c>
      <c r="O49" s="5"/>
      <c r="P49" t="s">
        <v>161</v>
      </c>
      <c r="Q49" s="77">
        <f>Q50/N37</f>
        <v>1.0519822057816899</v>
      </c>
      <c r="S49">
        <f t="shared" si="2"/>
        <v>-1.7800000000000011</v>
      </c>
    </row>
    <row r="50" spans="1:19" x14ac:dyDescent="0.15">
      <c r="A50" s="60">
        <v>35</v>
      </c>
      <c r="B50" s="60" t="s">
        <v>120</v>
      </c>
      <c r="C50" s="3">
        <f>IFERROR(ABS(N47*$L$2/(E50-F50)/10000),"")</f>
        <v>0.66149942562209429</v>
      </c>
      <c r="D50" s="51">
        <v>42357</v>
      </c>
      <c r="E50" s="7">
        <v>225.95</v>
      </c>
      <c r="F50" s="7">
        <v>228.57</v>
      </c>
      <c r="G50" s="51">
        <v>42028</v>
      </c>
      <c r="H50" s="7">
        <v>212.4</v>
      </c>
      <c r="I50" s="7" t="s">
        <v>122</v>
      </c>
      <c r="J50" s="8">
        <f t="shared" si="12"/>
        <v>1354.9999999999982</v>
      </c>
      <c r="K50" s="8">
        <f t="shared" si="13"/>
        <v>89633.17217179366</v>
      </c>
      <c r="L50" s="9" t="str">
        <f t="shared" si="5"/>
        <v/>
      </c>
      <c r="M50" s="10" t="str">
        <f t="shared" si="6"/>
        <v/>
      </c>
      <c r="N50" s="4">
        <f t="shared" si="1"/>
        <v>564938.26865100698</v>
      </c>
      <c r="O50" s="5">
        <f t="shared" si="0"/>
        <v>5.1717557251908239</v>
      </c>
      <c r="P50" t="s">
        <v>160</v>
      </c>
      <c r="Q50" s="71">
        <f>N50-N37</f>
        <v>289624.83412938681</v>
      </c>
      <c r="S50">
        <f t="shared" si="2"/>
        <v>16.169999999999987</v>
      </c>
    </row>
    <row r="51" spans="1:19" x14ac:dyDescent="0.15">
      <c r="A51" s="60"/>
      <c r="C51" s="3"/>
      <c r="D51" s="59" t="s">
        <v>156</v>
      </c>
      <c r="E51" s="7"/>
      <c r="F51" s="7"/>
      <c r="H51" s="7"/>
      <c r="I51" s="7"/>
      <c r="J51" s="8"/>
      <c r="K51" s="8"/>
      <c r="L51" s="9"/>
      <c r="M51" s="10"/>
      <c r="N51" s="4"/>
      <c r="O51" s="5"/>
      <c r="P51" s="12"/>
    </row>
    <row r="52" spans="1:19" x14ac:dyDescent="0.15">
      <c r="A52" s="60">
        <v>36</v>
      </c>
      <c r="B52" s="60" t="s">
        <v>119</v>
      </c>
      <c r="C52" s="3">
        <f>IFERROR(ABS(N50*$L$2/(E52-F52)/10000),"")</f>
        <v>0.58603554839316163</v>
      </c>
      <c r="D52" s="51">
        <v>42028</v>
      </c>
      <c r="E52" s="7">
        <v>211.92</v>
      </c>
      <c r="F52" s="7">
        <v>207.1</v>
      </c>
      <c r="G52" s="51">
        <v>42042</v>
      </c>
      <c r="H52" s="7">
        <v>207.1</v>
      </c>
      <c r="I52" s="7" t="s">
        <v>123</v>
      </c>
      <c r="J52" s="8" t="str">
        <f t="shared" si="12"/>
        <v/>
      </c>
      <c r="K52" s="8" t="str">
        <f t="shared" si="13"/>
        <v/>
      </c>
      <c r="L52" s="9">
        <f t="shared" si="5"/>
        <v>-481.99999999999932</v>
      </c>
      <c r="M52" s="10">
        <f t="shared" si="6"/>
        <v>-28246.913432550347</v>
      </c>
      <c r="N52" s="4">
        <f>IF(I52="ー",N50+0,IF(M52&lt;1,M52+N50,K52+N50))</f>
        <v>536691.35521845659</v>
      </c>
      <c r="O52" s="5"/>
      <c r="P52" s="12"/>
      <c r="S52">
        <f t="shared" si="2"/>
        <v>0</v>
      </c>
    </row>
    <row r="53" spans="1:19" x14ac:dyDescent="0.15">
      <c r="A53" s="60">
        <v>37</v>
      </c>
      <c r="B53" s="60" t="s">
        <v>119</v>
      </c>
      <c r="C53" s="3">
        <f t="shared" si="7"/>
        <v>0.82314625033505839</v>
      </c>
      <c r="D53" s="51">
        <v>42047</v>
      </c>
      <c r="E53" s="7">
        <v>210.97</v>
      </c>
      <c r="F53" s="7">
        <v>207.71</v>
      </c>
      <c r="G53" s="51">
        <v>42063</v>
      </c>
      <c r="H53" s="60">
        <v>207.71</v>
      </c>
      <c r="I53" s="7" t="s">
        <v>123</v>
      </c>
      <c r="J53" s="8" t="str">
        <f t="shared" si="12"/>
        <v/>
      </c>
      <c r="K53" s="8" t="str">
        <f t="shared" si="13"/>
        <v/>
      </c>
      <c r="L53" s="9">
        <f t="shared" si="5"/>
        <v>-325.99999999999909</v>
      </c>
      <c r="M53" s="10">
        <f t="shared" si="6"/>
        <v>-26834.56776092283</v>
      </c>
      <c r="N53" s="4">
        <f t="shared" si="1"/>
        <v>509856.78745753376</v>
      </c>
      <c r="O53" s="5"/>
      <c r="P53" s="12"/>
      <c r="S53">
        <f t="shared" si="2"/>
        <v>0</v>
      </c>
    </row>
    <row r="54" spans="1:19" x14ac:dyDescent="0.15">
      <c r="A54" s="60">
        <v>38</v>
      </c>
      <c r="B54" s="60" t="s">
        <v>120</v>
      </c>
      <c r="C54" s="3">
        <f>IFERROR(ABS(N52*$L$2/(E54-F54)/10000),"")</f>
        <v>0.95158041705400342</v>
      </c>
      <c r="D54" s="51">
        <v>42062</v>
      </c>
      <c r="E54" s="7">
        <v>210.66</v>
      </c>
      <c r="F54" s="7">
        <v>213.48</v>
      </c>
      <c r="G54" s="51">
        <v>42112</v>
      </c>
      <c r="H54" s="7">
        <v>206.31</v>
      </c>
      <c r="I54" s="7" t="s">
        <v>122</v>
      </c>
      <c r="J54" s="8">
        <f t="shared" si="12"/>
        <v>434.99999999999943</v>
      </c>
      <c r="K54" s="8">
        <f t="shared" si="13"/>
        <v>41393.748141849093</v>
      </c>
      <c r="L54" s="9" t="str">
        <f t="shared" si="5"/>
        <v/>
      </c>
      <c r="M54" s="10" t="str">
        <f t="shared" si="6"/>
        <v/>
      </c>
      <c r="N54" s="4">
        <f t="shared" si="1"/>
        <v>551250.53559938283</v>
      </c>
      <c r="O54" s="5">
        <f t="shared" si="0"/>
        <v>1.5425531914893633</v>
      </c>
      <c r="P54" s="12"/>
      <c r="S54">
        <f t="shared" si="2"/>
        <v>7.1699999999999875</v>
      </c>
    </row>
    <row r="55" spans="1:19" x14ac:dyDescent="0.15">
      <c r="A55" s="60">
        <v>39</v>
      </c>
      <c r="B55" s="60" t="s">
        <v>119</v>
      </c>
      <c r="C55" s="3">
        <f>IFERROR(ABS(N53*$L$2/(E55-F55)/10000),"")</f>
        <v>0.69652566592559328</v>
      </c>
      <c r="D55" s="51">
        <v>42087</v>
      </c>
      <c r="E55" s="7">
        <v>200.41</v>
      </c>
      <c r="F55" s="7">
        <v>196.75</v>
      </c>
      <c r="G55" s="51">
        <v>42210</v>
      </c>
      <c r="H55" s="7">
        <v>212.11</v>
      </c>
      <c r="I55" s="7" t="s">
        <v>122</v>
      </c>
      <c r="J55" s="8">
        <f t="shared" si="12"/>
        <v>1170.0000000000018</v>
      </c>
      <c r="K55" s="8">
        <f t="shared" si="13"/>
        <v>81493.502913294535</v>
      </c>
      <c r="L55" s="9" t="str">
        <f t="shared" si="5"/>
        <v/>
      </c>
      <c r="M55" s="10" t="str">
        <f t="shared" si="6"/>
        <v/>
      </c>
      <c r="N55" s="4">
        <f t="shared" si="1"/>
        <v>632744.03851267742</v>
      </c>
      <c r="O55" s="5">
        <f t="shared" si="0"/>
        <v>3.1967213114754176</v>
      </c>
      <c r="P55" s="12"/>
      <c r="S55">
        <f t="shared" si="2"/>
        <v>-15.360000000000014</v>
      </c>
    </row>
    <row r="56" spans="1:19" x14ac:dyDescent="0.15">
      <c r="A56" s="60">
        <v>40</v>
      </c>
      <c r="B56" s="60" t="s">
        <v>120</v>
      </c>
      <c r="C56" s="3">
        <f>IFERROR(ABS(N53*$L$2/(E56-F56)/10000),"")</f>
        <v>0.87304244427659417</v>
      </c>
      <c r="D56" s="51">
        <v>42091</v>
      </c>
      <c r="E56" s="7">
        <v>197.54</v>
      </c>
      <c r="F56" s="7">
        <v>200.46</v>
      </c>
      <c r="G56" s="51">
        <v>42095</v>
      </c>
      <c r="H56" s="7">
        <v>200.46</v>
      </c>
      <c r="I56" s="7" t="s">
        <v>123</v>
      </c>
      <c r="J56" s="8" t="str">
        <f t="shared" si="12"/>
        <v/>
      </c>
      <c r="K56" s="8" t="str">
        <f t="shared" si="13"/>
        <v/>
      </c>
      <c r="L56" s="9">
        <f t="shared" si="5"/>
        <v>-292.00000000000159</v>
      </c>
      <c r="M56" s="10">
        <f t="shared" si="6"/>
        <v>-25492.83937287669</v>
      </c>
      <c r="N56" s="4">
        <f t="shared" si="1"/>
        <v>607251.19913980074</v>
      </c>
      <c r="O56" s="5"/>
      <c r="P56" s="12"/>
      <c r="S56">
        <f t="shared" si="2"/>
        <v>0</v>
      </c>
    </row>
    <row r="57" spans="1:19" x14ac:dyDescent="0.15">
      <c r="A57" s="60">
        <v>41</v>
      </c>
      <c r="B57" s="60" t="s">
        <v>119</v>
      </c>
      <c r="C57" s="3">
        <f>IFERROR(ABS(N56*$L$2/(E57-F57)/10000),"")</f>
        <v>0.64464033878959626</v>
      </c>
      <c r="D57" s="51">
        <v>42095</v>
      </c>
      <c r="E57" s="7">
        <v>201.71</v>
      </c>
      <c r="F57" s="7">
        <v>197</v>
      </c>
      <c r="G57" s="51">
        <v>42210</v>
      </c>
      <c r="H57" s="7">
        <v>212.11</v>
      </c>
      <c r="I57" s="7" t="s">
        <v>122</v>
      </c>
      <c r="J57" s="8">
        <f t="shared" si="12"/>
        <v>1040.0000000000005</v>
      </c>
      <c r="K57" s="8">
        <f t="shared" si="13"/>
        <v>67042.595234118038</v>
      </c>
      <c r="L57" s="9" t="str">
        <f t="shared" si="5"/>
        <v/>
      </c>
      <c r="M57" s="10" t="str">
        <f t="shared" si="6"/>
        <v/>
      </c>
      <c r="N57" s="4">
        <f t="shared" si="1"/>
        <v>674293.79437391879</v>
      </c>
      <c r="O57" s="5">
        <f t="shared" si="0"/>
        <v>2.2080679405520143</v>
      </c>
      <c r="P57" s="12"/>
      <c r="S57">
        <f t="shared" si="2"/>
        <v>-15.110000000000014</v>
      </c>
    </row>
    <row r="58" spans="1:19" x14ac:dyDescent="0.15">
      <c r="A58" s="60">
        <v>42</v>
      </c>
      <c r="B58" s="60" t="s">
        <v>119</v>
      </c>
      <c r="C58" s="3">
        <f>IFERROR(ABS(N56*$L$2/(E58-F58)/10000),"")</f>
        <v>1.7057617953365178</v>
      </c>
      <c r="D58" s="51">
        <v>42110</v>
      </c>
      <c r="E58" s="7">
        <v>200.92</v>
      </c>
      <c r="F58" s="7">
        <v>199.14</v>
      </c>
      <c r="G58" s="51">
        <v>42210</v>
      </c>
      <c r="H58" s="7">
        <v>212.11</v>
      </c>
      <c r="I58" s="7" t="s">
        <v>122</v>
      </c>
      <c r="J58" s="8">
        <f t="shared" si="12"/>
        <v>1119.0000000000027</v>
      </c>
      <c r="K58" s="8">
        <f t="shared" si="13"/>
        <v>190874.74489815682</v>
      </c>
      <c r="L58" s="9" t="str">
        <f t="shared" si="5"/>
        <v/>
      </c>
      <c r="M58" s="10" t="str">
        <f t="shared" si="6"/>
        <v/>
      </c>
      <c r="N58" s="4">
        <f t="shared" si="1"/>
        <v>865168.53927207564</v>
      </c>
      <c r="O58" s="5">
        <f t="shared" si="0"/>
        <v>6.2865168539325946</v>
      </c>
      <c r="P58" s="12"/>
      <c r="S58">
        <f t="shared" si="2"/>
        <v>-12.970000000000027</v>
      </c>
    </row>
    <row r="59" spans="1:19" x14ac:dyDescent="0.15">
      <c r="A59" s="60">
        <v>43</v>
      </c>
      <c r="B59" s="60" t="s">
        <v>119</v>
      </c>
      <c r="C59" s="3">
        <f>IFERROR(ABS(N56*$L$2/(E59-F59)/10000),"")</f>
        <v>0.78863792096078134</v>
      </c>
      <c r="D59" s="51">
        <v>42146</v>
      </c>
      <c r="E59" s="7">
        <v>206.51</v>
      </c>
      <c r="F59" s="7">
        <v>202.66</v>
      </c>
      <c r="G59" s="51">
        <v>42210</v>
      </c>
      <c r="H59" s="7">
        <v>212.11</v>
      </c>
      <c r="I59" s="7" t="s">
        <v>122</v>
      </c>
      <c r="J59" s="8">
        <f t="shared" si="12"/>
        <v>560.00000000000227</v>
      </c>
      <c r="K59" s="8">
        <f t="shared" si="13"/>
        <v>44163.723573803938</v>
      </c>
      <c r="L59" s="9" t="str">
        <f t="shared" si="5"/>
        <v/>
      </c>
      <c r="M59" s="10" t="str">
        <f t="shared" si="6"/>
        <v/>
      </c>
      <c r="N59" s="4">
        <f t="shared" si="1"/>
        <v>909332.26284587954</v>
      </c>
      <c r="O59" s="5">
        <f t="shared" si="0"/>
        <v>1.4545454545454626</v>
      </c>
      <c r="P59" s="12"/>
      <c r="S59">
        <f t="shared" si="2"/>
        <v>-9.4500000000000171</v>
      </c>
    </row>
    <row r="60" spans="1:19" x14ac:dyDescent="0.15">
      <c r="A60" s="60">
        <v>44</v>
      </c>
      <c r="B60" s="60" t="s">
        <v>119</v>
      </c>
      <c r="C60" s="3">
        <f t="shared" si="7"/>
        <v>2.2397346375514262</v>
      </c>
      <c r="D60" s="51">
        <v>42160</v>
      </c>
      <c r="E60" s="7">
        <v>207.53</v>
      </c>
      <c r="F60" s="7">
        <v>205.5</v>
      </c>
      <c r="G60" s="51">
        <v>42210</v>
      </c>
      <c r="H60" s="7">
        <v>212.11</v>
      </c>
      <c r="I60" s="7" t="s">
        <v>122</v>
      </c>
      <c r="J60" s="8">
        <f t="shared" si="12"/>
        <v>458.00000000000125</v>
      </c>
      <c r="K60" s="8">
        <f t="shared" si="13"/>
        <v>102579.8463998556</v>
      </c>
      <c r="L60" s="9" t="str">
        <f t="shared" si="5"/>
        <v/>
      </c>
      <c r="M60" s="10" t="str">
        <f t="shared" si="6"/>
        <v/>
      </c>
      <c r="N60" s="4">
        <f t="shared" si="1"/>
        <v>1011912.1092457351</v>
      </c>
      <c r="O60" s="5">
        <f t="shared" si="0"/>
        <v>2.2561576354679853</v>
      </c>
      <c r="P60" s="12"/>
      <c r="S60">
        <f t="shared" si="2"/>
        <v>-6.6100000000000136</v>
      </c>
    </row>
    <row r="61" spans="1:19" x14ac:dyDescent="0.15">
      <c r="A61" s="60">
        <v>45</v>
      </c>
      <c r="B61" s="60" t="s">
        <v>119</v>
      </c>
      <c r="C61" s="3">
        <f>IFERROR(ABS(N56*$L$2/(E61-F61)/10000),"")</f>
        <v>0.68230471813460503</v>
      </c>
      <c r="D61" s="51">
        <v>42164</v>
      </c>
      <c r="E61" s="7">
        <v>210.02</v>
      </c>
      <c r="F61" s="7">
        <v>205.57</v>
      </c>
      <c r="G61" s="51">
        <v>42210</v>
      </c>
      <c r="H61" s="7">
        <v>212.11</v>
      </c>
      <c r="I61" s="7" t="s">
        <v>122</v>
      </c>
      <c r="J61" s="8">
        <f t="shared" si="12"/>
        <v>209.00000000000034</v>
      </c>
      <c r="K61" s="8">
        <f t="shared" si="13"/>
        <v>14260.168609013268</v>
      </c>
      <c r="L61" s="9" t="str">
        <f t="shared" si="5"/>
        <v/>
      </c>
      <c r="M61" s="10" t="str">
        <f t="shared" si="6"/>
        <v/>
      </c>
      <c r="N61" s="4">
        <f t="shared" si="1"/>
        <v>1026172.2778547484</v>
      </c>
      <c r="O61" s="5">
        <f t="shared" si="0"/>
        <v>0.46966292134831356</v>
      </c>
      <c r="P61" s="12"/>
      <c r="S61">
        <f t="shared" si="2"/>
        <v>-6.5400000000000205</v>
      </c>
    </row>
    <row r="62" spans="1:19" x14ac:dyDescent="0.15">
      <c r="A62" s="60">
        <v>46</v>
      </c>
      <c r="B62" s="60" t="s">
        <v>120</v>
      </c>
      <c r="C62" s="3">
        <f>IFERROR(ABS(N56*$L$2/(E62-F62)/10000),"")</f>
        <v>0.98900846765439165</v>
      </c>
      <c r="D62" s="51">
        <v>42200</v>
      </c>
      <c r="E62" s="7">
        <v>208.89</v>
      </c>
      <c r="F62" s="7">
        <v>211.96</v>
      </c>
      <c r="G62" s="51">
        <v>42202</v>
      </c>
      <c r="H62" s="7">
        <v>211.96</v>
      </c>
      <c r="I62" s="7" t="s">
        <v>123</v>
      </c>
      <c r="J62" s="8" t="str">
        <f t="shared" si="12"/>
        <v/>
      </c>
      <c r="K62" s="8" t="str">
        <f t="shared" si="13"/>
        <v/>
      </c>
      <c r="L62" s="9">
        <f t="shared" si="5"/>
        <v>-307.00000000000216</v>
      </c>
      <c r="M62" s="10">
        <f t="shared" si="6"/>
        <v>-30362.559956990037</v>
      </c>
      <c r="N62" s="4">
        <f t="shared" si="1"/>
        <v>995809.71789775835</v>
      </c>
      <c r="O62" s="5"/>
      <c r="P62" t="s">
        <v>168</v>
      </c>
      <c r="Q62" s="11">
        <f>AVERAGE(O52:O65)</f>
        <v>4.8087689843513965</v>
      </c>
      <c r="S62">
        <f t="shared" si="2"/>
        <v>0</v>
      </c>
    </row>
    <row r="63" spans="1:19" x14ac:dyDescent="0.15">
      <c r="A63" s="60">
        <v>47</v>
      </c>
      <c r="B63" s="60" t="s">
        <v>120</v>
      </c>
      <c r="C63" s="3">
        <f>IFERROR(ABS(N62*$L$2/(E63-F63)/10000),"")</f>
        <v>1.6324749473733835</v>
      </c>
      <c r="D63" s="51">
        <v>42209</v>
      </c>
      <c r="E63" s="60">
        <v>212.74</v>
      </c>
      <c r="F63" s="60">
        <v>215.79</v>
      </c>
      <c r="G63" s="51">
        <v>42332</v>
      </c>
      <c r="H63" s="60">
        <v>147.85</v>
      </c>
      <c r="I63" s="60" t="s">
        <v>122</v>
      </c>
      <c r="J63" s="8">
        <f t="shared" si="12"/>
        <v>6489.0000000000018</v>
      </c>
      <c r="K63" s="8">
        <f t="shared" si="13"/>
        <v>1059312.9933505889</v>
      </c>
      <c r="L63" s="9" t="str">
        <f t="shared" si="5"/>
        <v/>
      </c>
      <c r="M63" s="10" t="str">
        <f t="shared" si="6"/>
        <v/>
      </c>
      <c r="N63" s="4">
        <f t="shared" si="1"/>
        <v>2055122.7112483473</v>
      </c>
      <c r="O63" s="5">
        <f t="shared" si="0"/>
        <v>21.275409836065698</v>
      </c>
      <c r="P63" t="s">
        <v>166</v>
      </c>
      <c r="Q63" s="77">
        <f>COUNTIF(K52:K65,"&gt;0")/COUNTIF(N52:N65,"&gt;0")</f>
        <v>0.6428571428571429</v>
      </c>
      <c r="S63">
        <f t="shared" si="2"/>
        <v>67.94</v>
      </c>
    </row>
    <row r="64" spans="1:19" x14ac:dyDescent="0.15">
      <c r="A64" s="60">
        <v>48</v>
      </c>
      <c r="B64" s="60" t="s">
        <v>120</v>
      </c>
      <c r="C64" s="3">
        <f>IFERROR(ABS(N62*$L$2/(E64-F64)/10000),"")</f>
        <v>0.80436972366539472</v>
      </c>
      <c r="D64" s="51">
        <v>42292</v>
      </c>
      <c r="E64" s="60">
        <v>172.47</v>
      </c>
      <c r="F64" s="60">
        <v>178.66</v>
      </c>
      <c r="G64" s="51">
        <v>42297</v>
      </c>
      <c r="H64" s="60">
        <v>178.66</v>
      </c>
      <c r="I64" s="60" t="s">
        <v>123</v>
      </c>
      <c r="J64" s="8" t="str">
        <f t="shared" si="12"/>
        <v/>
      </c>
      <c r="K64" s="8" t="str">
        <f t="shared" si="13"/>
        <v/>
      </c>
      <c r="L64" s="9">
        <f t="shared" si="5"/>
        <v>-618.99999999999977</v>
      </c>
      <c r="M64" s="10">
        <f t="shared" si="6"/>
        <v>-49790.485894887919</v>
      </c>
      <c r="N64" s="4">
        <f t="shared" si="1"/>
        <v>2005332.2253534594</v>
      </c>
      <c r="O64" s="5"/>
      <c r="P64" t="s">
        <v>161</v>
      </c>
      <c r="Q64" s="77">
        <f>Q65/N50</f>
        <v>2.9541222730623229</v>
      </c>
      <c r="S64">
        <f t="shared" si="2"/>
        <v>0</v>
      </c>
    </row>
    <row r="65" spans="1:19" x14ac:dyDescent="0.15">
      <c r="A65" s="60">
        <v>49</v>
      </c>
      <c r="B65" s="60" t="s">
        <v>120</v>
      </c>
      <c r="C65" s="3">
        <f>IFERROR(ABS(N62*$L$2/(E65-F65)/10000),"")</f>
        <v>0.88911581955157093</v>
      </c>
      <c r="D65" s="51">
        <v>42297</v>
      </c>
      <c r="E65" s="60">
        <v>173.55</v>
      </c>
      <c r="F65" s="60">
        <v>179.15</v>
      </c>
      <c r="G65" s="51">
        <v>42332</v>
      </c>
      <c r="H65" s="60">
        <v>147.85</v>
      </c>
      <c r="I65" s="60" t="s">
        <v>122</v>
      </c>
      <c r="J65" s="8">
        <f t="shared" si="12"/>
        <v>2570.0000000000018</v>
      </c>
      <c r="K65" s="8">
        <f t="shared" si="13"/>
        <v>228502.76562475387</v>
      </c>
      <c r="L65" s="9" t="str">
        <f t="shared" si="5"/>
        <v/>
      </c>
      <c r="M65" s="10" t="str">
        <f t="shared" si="6"/>
        <v/>
      </c>
      <c r="N65" s="4">
        <f t="shared" si="1"/>
        <v>2233834.990978213</v>
      </c>
      <c r="O65" s="5">
        <f t="shared" si="0"/>
        <v>4.5892857142857224</v>
      </c>
      <c r="P65" t="s">
        <v>160</v>
      </c>
      <c r="Q65" s="71">
        <f>N65-N50</f>
        <v>1668896.7223272061</v>
      </c>
      <c r="S65">
        <f t="shared" si="2"/>
        <v>31.300000000000011</v>
      </c>
    </row>
    <row r="66" spans="1:19" x14ac:dyDescent="0.15">
      <c r="A66" s="60"/>
      <c r="C66" s="3"/>
      <c r="D66" s="59" t="s">
        <v>157</v>
      </c>
      <c r="E66" s="60"/>
      <c r="F66" s="60"/>
      <c r="H66" s="60"/>
      <c r="I66" s="60"/>
      <c r="J66" s="8"/>
      <c r="K66" s="8"/>
      <c r="L66" s="9"/>
      <c r="M66" s="10"/>
      <c r="N66" s="4"/>
      <c r="O66" s="5"/>
      <c r="P66" s="12"/>
    </row>
    <row r="67" spans="1:19" x14ac:dyDescent="0.15">
      <c r="A67" s="60">
        <v>50</v>
      </c>
      <c r="B67" s="60" t="s">
        <v>120</v>
      </c>
      <c r="C67" s="3">
        <f>IFERROR(ABS(N65*$L$2/(E67-F67)/10000),"")</f>
        <v>2.056938297401667</v>
      </c>
      <c r="D67" s="51">
        <v>42023</v>
      </c>
      <c r="E67" s="60">
        <v>130.41999999999999</v>
      </c>
      <c r="F67" s="60">
        <v>135.85</v>
      </c>
      <c r="G67" s="51">
        <v>42041</v>
      </c>
      <c r="H67" s="60">
        <v>135.85</v>
      </c>
      <c r="I67" s="60" t="s">
        <v>123</v>
      </c>
      <c r="J67" s="8" t="str">
        <f t="shared" si="12"/>
        <v/>
      </c>
      <c r="K67" s="8" t="str">
        <f t="shared" si="13"/>
        <v/>
      </c>
      <c r="L67" s="9">
        <f t="shared" si="5"/>
        <v>-543.00000000000068</v>
      </c>
      <c r="M67" s="10">
        <f t="shared" si="6"/>
        <v>-111691.74954891067</v>
      </c>
      <c r="N67" s="4">
        <f>IF(I67="ー",N65+0,IF(M67&lt;1,M67+N65,K67+N65))</f>
        <v>2122143.2414293024</v>
      </c>
      <c r="O67" s="5"/>
      <c r="P67" s="12"/>
      <c r="S67">
        <f t="shared" si="2"/>
        <v>0</v>
      </c>
    </row>
    <row r="68" spans="1:19" x14ac:dyDescent="0.15">
      <c r="A68" s="60">
        <v>51</v>
      </c>
      <c r="B68" s="45" t="s">
        <v>120</v>
      </c>
      <c r="C68" s="3">
        <f t="shared" si="7"/>
        <v>1.7394616733027084</v>
      </c>
      <c r="D68" s="56">
        <v>42045</v>
      </c>
      <c r="E68" s="45">
        <v>130.29</v>
      </c>
      <c r="F68" s="45">
        <v>136.38999999999999</v>
      </c>
      <c r="G68" s="56">
        <v>42058</v>
      </c>
      <c r="H68" s="45">
        <v>136.38999999999999</v>
      </c>
      <c r="I68" s="45" t="s">
        <v>123</v>
      </c>
      <c r="J68" s="8" t="str">
        <f t="shared" si="12"/>
        <v/>
      </c>
      <c r="K68" s="8" t="str">
        <f t="shared" si="13"/>
        <v/>
      </c>
      <c r="L68" s="9">
        <f t="shared" si="5"/>
        <v>-609.99999999999943</v>
      </c>
      <c r="M68" s="10">
        <f t="shared" si="6"/>
        <v>-106107.16207146511</v>
      </c>
      <c r="N68" s="4">
        <f t="shared" si="1"/>
        <v>2016036.0793578373</v>
      </c>
      <c r="O68" s="5"/>
      <c r="P68" s="12"/>
      <c r="S68">
        <f t="shared" si="2"/>
        <v>0</v>
      </c>
    </row>
    <row r="69" spans="1:19" x14ac:dyDescent="0.15">
      <c r="A69" s="60">
        <v>52</v>
      </c>
      <c r="B69" s="45" t="s">
        <v>119</v>
      </c>
      <c r="C69" s="3">
        <f>IFERROR(ABS(N67*$L$2/(E69-F69)/10000),"")</f>
        <v>2.2480330947344314</v>
      </c>
      <c r="D69" s="56">
        <v>42048</v>
      </c>
      <c r="E69" s="45">
        <v>133.85</v>
      </c>
      <c r="F69" s="45">
        <v>129.13</v>
      </c>
      <c r="G69" s="56">
        <v>42178</v>
      </c>
      <c r="H69" s="45">
        <v>154.84</v>
      </c>
      <c r="I69" s="45" t="s">
        <v>122</v>
      </c>
      <c r="J69" s="8">
        <f t="shared" si="12"/>
        <v>2099.0000000000009</v>
      </c>
      <c r="K69" s="8">
        <f t="shared" si="13"/>
        <v>471862.14658475737</v>
      </c>
      <c r="L69" s="9" t="str">
        <f t="shared" si="5"/>
        <v/>
      </c>
      <c r="M69" s="10" t="str">
        <f t="shared" si="6"/>
        <v/>
      </c>
      <c r="N69" s="4">
        <f t="shared" si="1"/>
        <v>2487898.2259425949</v>
      </c>
      <c r="O69" s="5">
        <f t="shared" si="0"/>
        <v>4.4470338983050874</v>
      </c>
      <c r="P69" s="12"/>
      <c r="S69">
        <f t="shared" si="2"/>
        <v>-25.710000000000008</v>
      </c>
    </row>
    <row r="70" spans="1:19" x14ac:dyDescent="0.15">
      <c r="A70" s="60">
        <v>53</v>
      </c>
      <c r="B70" s="45" t="s">
        <v>119</v>
      </c>
      <c r="C70" s="3">
        <f>IFERROR(ABS(N68*$L$2/(E70-F70)/10000),"")</f>
        <v>1.9882012616941225</v>
      </c>
      <c r="D70" s="56">
        <v>42075</v>
      </c>
      <c r="E70" s="45">
        <v>136.51</v>
      </c>
      <c r="F70" s="45">
        <v>131.44</v>
      </c>
      <c r="G70" s="56">
        <v>42178</v>
      </c>
      <c r="H70" s="45">
        <v>154.84</v>
      </c>
      <c r="I70" s="45" t="s">
        <v>122</v>
      </c>
      <c r="J70" s="8">
        <f t="shared" si="12"/>
        <v>1833.0000000000014</v>
      </c>
      <c r="K70" s="8">
        <f t="shared" si="13"/>
        <v>364437.29126853292</v>
      </c>
      <c r="L70" s="9" t="str">
        <f t="shared" si="5"/>
        <v/>
      </c>
      <c r="M70" s="10" t="str">
        <f t="shared" si="6"/>
        <v/>
      </c>
      <c r="N70" s="4">
        <f t="shared" si="1"/>
        <v>2852335.517211128</v>
      </c>
      <c r="O70" s="5">
        <f t="shared" si="0"/>
        <v>3.6153846153846225</v>
      </c>
      <c r="P70" s="12"/>
      <c r="S70">
        <f t="shared" si="2"/>
        <v>-23.400000000000006</v>
      </c>
    </row>
    <row r="71" spans="1:19" x14ac:dyDescent="0.15">
      <c r="A71" s="60">
        <v>54</v>
      </c>
      <c r="B71" s="45" t="s">
        <v>119</v>
      </c>
      <c r="C71" s="3">
        <f>IFERROR(ABS(N68*$L$2/(E71-F71)/10000),"")</f>
        <v>4.2176487015854081</v>
      </c>
      <c r="D71" s="57">
        <v>42083</v>
      </c>
      <c r="E71" s="46">
        <v>138.93</v>
      </c>
      <c r="F71" s="46">
        <v>136.54</v>
      </c>
      <c r="G71" s="57">
        <v>42093</v>
      </c>
      <c r="H71" s="46">
        <v>136.54</v>
      </c>
      <c r="I71" s="46" t="s">
        <v>123</v>
      </c>
      <c r="J71" s="8" t="str">
        <f t="shared" si="12"/>
        <v/>
      </c>
      <c r="K71" s="8" t="str">
        <f t="shared" si="13"/>
        <v/>
      </c>
      <c r="L71" s="9">
        <f t="shared" si="5"/>
        <v>-239.00000000000148</v>
      </c>
      <c r="M71" s="10">
        <f t="shared" si="6"/>
        <v>-100801.80396789187</v>
      </c>
      <c r="N71" s="4">
        <f t="shared" si="1"/>
        <v>2751533.7132432363</v>
      </c>
      <c r="O71" s="5"/>
      <c r="P71" s="12"/>
      <c r="S71">
        <f t="shared" si="2"/>
        <v>0</v>
      </c>
    </row>
    <row r="72" spans="1:19" x14ac:dyDescent="0.15">
      <c r="A72" s="60">
        <v>55</v>
      </c>
      <c r="B72" s="46" t="s">
        <v>119</v>
      </c>
      <c r="C72" s="3">
        <f>IFERROR(ABS(N68*$L$2/(E72-F72)/10000),"")</f>
        <v>2.5519444042504342</v>
      </c>
      <c r="D72" s="57">
        <v>42094</v>
      </c>
      <c r="E72" s="46">
        <v>142.47</v>
      </c>
      <c r="F72" s="46">
        <v>138.52000000000001</v>
      </c>
      <c r="G72" s="57">
        <v>42178</v>
      </c>
      <c r="H72" s="46">
        <v>154.84</v>
      </c>
      <c r="I72" s="46" t="s">
        <v>122</v>
      </c>
      <c r="J72" s="8">
        <f t="shared" si="12"/>
        <v>1237.0000000000005</v>
      </c>
      <c r="K72" s="8">
        <f t="shared" si="13"/>
        <v>315675.52280577883</v>
      </c>
      <c r="L72" s="9" t="str">
        <f t="shared" si="5"/>
        <v/>
      </c>
      <c r="M72" s="10" t="str">
        <f t="shared" si="6"/>
        <v/>
      </c>
      <c r="N72" s="4">
        <f t="shared" si="1"/>
        <v>3067209.2360490151</v>
      </c>
      <c r="O72" s="5">
        <f t="shared" si="0"/>
        <v>3.1316455696202632</v>
      </c>
      <c r="P72" s="12"/>
      <c r="S72">
        <f t="shared" si="2"/>
        <v>-16.319999999999993</v>
      </c>
    </row>
    <row r="73" spans="1:19" x14ac:dyDescent="0.15">
      <c r="A73" s="60">
        <v>56</v>
      </c>
      <c r="B73" s="46" t="s">
        <v>119</v>
      </c>
      <c r="C73" s="3">
        <f>IFERROR(ABS(N68*$L$2/(E73-F73)/10000),"")</f>
        <v>2.7391794556492517</v>
      </c>
      <c r="D73" s="56">
        <v>42123</v>
      </c>
      <c r="E73" s="45">
        <v>144.47999999999999</v>
      </c>
      <c r="F73" s="45">
        <v>140.80000000000001</v>
      </c>
      <c r="G73" s="56">
        <v>42178</v>
      </c>
      <c r="H73" s="45">
        <v>154.84</v>
      </c>
      <c r="I73" s="45" t="s">
        <v>122</v>
      </c>
      <c r="J73" s="8">
        <f t="shared" si="12"/>
        <v>1036.0000000000014</v>
      </c>
      <c r="K73" s="8">
        <f t="shared" si="13"/>
        <v>283778.99160526285</v>
      </c>
      <c r="L73" s="9" t="str">
        <f t="shared" si="5"/>
        <v/>
      </c>
      <c r="M73" s="10" t="str">
        <f t="shared" si="6"/>
        <v/>
      </c>
      <c r="N73" s="4">
        <f t="shared" si="1"/>
        <v>3350988.2276542778</v>
      </c>
      <c r="O73" s="5">
        <f t="shared" si="0"/>
        <v>2.8152173913043681</v>
      </c>
      <c r="P73" s="12"/>
      <c r="S73">
        <f t="shared" si="2"/>
        <v>-14.039999999999992</v>
      </c>
    </row>
    <row r="74" spans="1:19" x14ac:dyDescent="0.15">
      <c r="A74" s="60">
        <v>57</v>
      </c>
      <c r="B74" s="45" t="s">
        <v>119</v>
      </c>
      <c r="C74" s="3">
        <f>IFERROR(ABS(N68*$L$2/(E74-F74)/10000),"")</f>
        <v>2.0698522375337123</v>
      </c>
      <c r="D74" s="56">
        <v>42143</v>
      </c>
      <c r="E74" s="45">
        <v>147.87</v>
      </c>
      <c r="F74" s="45">
        <v>143</v>
      </c>
      <c r="G74" s="56">
        <v>42178</v>
      </c>
      <c r="H74" s="45">
        <v>154.84</v>
      </c>
      <c r="I74" s="45" t="s">
        <v>122</v>
      </c>
      <c r="J74" s="8">
        <f t="shared" si="12"/>
        <v>696.99999999999989</v>
      </c>
      <c r="K74" s="8">
        <f t="shared" si="13"/>
        <v>144268.70095609972</v>
      </c>
      <c r="L74" s="9" t="str">
        <f t="shared" si="5"/>
        <v/>
      </c>
      <c r="M74" s="10" t="str">
        <f t="shared" si="6"/>
        <v/>
      </c>
      <c r="N74" s="4">
        <f t="shared" si="1"/>
        <v>3495256.9286103775</v>
      </c>
      <c r="O74" s="5">
        <f t="shared" si="0"/>
        <v>1.4312114989733045</v>
      </c>
      <c r="P74" s="12"/>
      <c r="S74">
        <f t="shared" si="2"/>
        <v>-11.840000000000003</v>
      </c>
    </row>
    <row r="75" spans="1:19" x14ac:dyDescent="0.15">
      <c r="A75" s="60">
        <v>58</v>
      </c>
      <c r="B75" s="60" t="s">
        <v>119</v>
      </c>
      <c r="C75" s="3">
        <f>IFERROR(ABS(N68*$L$2/(E75-F75)/10000),"")</f>
        <v>2.7845802201075069</v>
      </c>
      <c r="D75" s="51">
        <v>42160</v>
      </c>
      <c r="E75" s="60">
        <v>158.46</v>
      </c>
      <c r="F75" s="60">
        <v>154.84</v>
      </c>
      <c r="G75" s="51">
        <v>42178</v>
      </c>
      <c r="H75" s="60">
        <v>154.84</v>
      </c>
      <c r="I75" s="60" t="s">
        <v>123</v>
      </c>
      <c r="J75" s="8" t="str">
        <f t="shared" si="12"/>
        <v/>
      </c>
      <c r="K75" s="8" t="str">
        <f t="shared" si="13"/>
        <v/>
      </c>
      <c r="L75" s="9">
        <f t="shared" si="5"/>
        <v>-362.00000000000045</v>
      </c>
      <c r="M75" s="10">
        <f t="shared" si="6"/>
        <v>-100801.80396789187</v>
      </c>
      <c r="N75" s="4">
        <f t="shared" si="1"/>
        <v>3394455.1246424858</v>
      </c>
      <c r="O75" s="5"/>
      <c r="P75" s="12"/>
      <c r="S75">
        <f t="shared" si="2"/>
        <v>0</v>
      </c>
    </row>
    <row r="76" spans="1:19" x14ac:dyDescent="0.15">
      <c r="A76" s="60">
        <v>59</v>
      </c>
      <c r="B76" s="60" t="s">
        <v>120</v>
      </c>
      <c r="C76" s="3">
        <f>IFERROR(ABS(N75*$L$2/(E76-F76)/10000),"")</f>
        <v>6.7618627980926265</v>
      </c>
      <c r="D76" s="51">
        <v>42187</v>
      </c>
      <c r="E76" s="60">
        <v>156.80000000000001</v>
      </c>
      <c r="F76" s="60">
        <v>159.31</v>
      </c>
      <c r="G76" s="51">
        <v>42208</v>
      </c>
      <c r="H76" s="60">
        <v>156.88999999999999</v>
      </c>
      <c r="I76" s="60" t="s">
        <v>123</v>
      </c>
      <c r="J76" s="8" t="str">
        <f t="shared" si="12"/>
        <v/>
      </c>
      <c r="K76" s="8" t="str">
        <f t="shared" si="13"/>
        <v/>
      </c>
      <c r="L76" s="9">
        <f t="shared" si="5"/>
        <v>-8.9999999999974989</v>
      </c>
      <c r="M76" s="10">
        <f t="shared" si="6"/>
        <v>-6085.6765182816725</v>
      </c>
      <c r="N76" s="4">
        <f t="shared" si="1"/>
        <v>3388369.4481242043</v>
      </c>
      <c r="O76" s="5"/>
      <c r="P76" s="12"/>
      <c r="S76">
        <f t="shared" si="2"/>
        <v>2.4200000000000159</v>
      </c>
    </row>
    <row r="77" spans="1:19" x14ac:dyDescent="0.15">
      <c r="A77" s="60">
        <v>60</v>
      </c>
      <c r="B77" s="60" t="s">
        <v>120</v>
      </c>
      <c r="C77" s="3">
        <f t="shared" ref="C77:C140" si="14">IFERROR(ABS(N76*$L$2/(E77-F77)/10000),"")</f>
        <v>4.6543536375332657</v>
      </c>
      <c r="D77" s="51">
        <v>42226</v>
      </c>
      <c r="E77" s="60">
        <v>159.34</v>
      </c>
      <c r="F77" s="60">
        <v>162.97999999999999</v>
      </c>
      <c r="G77" s="51">
        <v>42298</v>
      </c>
      <c r="H77" s="60">
        <v>149.51</v>
      </c>
      <c r="I77" s="60" t="s">
        <v>122</v>
      </c>
      <c r="J77" s="8">
        <f t="shared" si="12"/>
        <v>983.00000000000125</v>
      </c>
      <c r="K77" s="8">
        <f t="shared" si="13"/>
        <v>457522.96256952058</v>
      </c>
      <c r="L77" s="9" t="str">
        <f t="shared" si="5"/>
        <v/>
      </c>
      <c r="M77" s="10" t="str">
        <f t="shared" si="6"/>
        <v/>
      </c>
      <c r="N77" s="4">
        <f t="shared" si="1"/>
        <v>3845892.4106937246</v>
      </c>
      <c r="O77" s="5">
        <f t="shared" si="0"/>
        <v>2.700549450549464</v>
      </c>
      <c r="P77" t="s">
        <v>168</v>
      </c>
      <c r="Q77" s="11">
        <f>AVERAGE(O67:O80)</f>
        <v>3.0235070706895182</v>
      </c>
      <c r="S77">
        <f t="shared" si="2"/>
        <v>13.469999999999999</v>
      </c>
    </row>
    <row r="78" spans="1:19" x14ac:dyDescent="0.15">
      <c r="A78" s="60">
        <v>61</v>
      </c>
      <c r="B78" s="60" t="s">
        <v>120</v>
      </c>
      <c r="C78" s="3">
        <f t="shared" si="14"/>
        <v>4.7363207028247816</v>
      </c>
      <c r="D78" s="51">
        <v>42307</v>
      </c>
      <c r="E78" s="60">
        <v>147.63999999999999</v>
      </c>
      <c r="F78" s="60">
        <v>151.69999999999999</v>
      </c>
      <c r="G78" s="51">
        <v>42342</v>
      </c>
      <c r="H78" s="60">
        <v>148.37</v>
      </c>
      <c r="I78" s="60" t="s">
        <v>123</v>
      </c>
      <c r="J78" s="8" t="str">
        <f t="shared" si="12"/>
        <v/>
      </c>
      <c r="K78" s="8" t="str">
        <f t="shared" si="13"/>
        <v/>
      </c>
      <c r="L78" s="9">
        <f t="shared" si="5"/>
        <v>-73.000000000001819</v>
      </c>
      <c r="M78" s="10">
        <f t="shared" si="6"/>
        <v>-34575.141130621771</v>
      </c>
      <c r="N78" s="4">
        <f t="shared" si="1"/>
        <v>3811317.2695631031</v>
      </c>
      <c r="O78" s="5"/>
      <c r="P78" t="s">
        <v>166</v>
      </c>
      <c r="Q78" s="77">
        <f>COUNTIF(K67:K80,"&gt;0")/COUNTIF(N67:N80,"&gt;0")</f>
        <v>0.42857142857142855</v>
      </c>
      <c r="S78">
        <f t="shared" si="2"/>
        <v>3.3299999999999841</v>
      </c>
    </row>
    <row r="79" spans="1:19" x14ac:dyDescent="0.15">
      <c r="A79" s="60">
        <v>62</v>
      </c>
      <c r="B79" s="60" t="s">
        <v>119</v>
      </c>
      <c r="C79" s="3">
        <f t="shared" si="14"/>
        <v>11.144202542582121</v>
      </c>
      <c r="D79" s="51">
        <v>42353</v>
      </c>
      <c r="E79" s="60">
        <v>146.02000000000001</v>
      </c>
      <c r="F79" s="60">
        <v>144.31</v>
      </c>
      <c r="G79" s="51">
        <v>42356</v>
      </c>
      <c r="H79" s="60">
        <v>144.31</v>
      </c>
      <c r="I79" s="60" t="s">
        <v>123</v>
      </c>
      <c r="J79" s="8" t="str">
        <f t="shared" si="12"/>
        <v/>
      </c>
      <c r="K79" s="8" t="str">
        <f t="shared" si="13"/>
        <v/>
      </c>
      <c r="L79" s="9">
        <f t="shared" si="5"/>
        <v>-171.0000000000008</v>
      </c>
      <c r="M79" s="10">
        <f t="shared" si="6"/>
        <v>-190565.86347815517</v>
      </c>
      <c r="N79" s="4">
        <f t="shared" ref="N79:N137" si="15">IF(I79="ー",N78+0,IF(M79&lt;1,M79+N78,K79+N78))</f>
        <v>3620751.4060849478</v>
      </c>
      <c r="O79" s="5"/>
      <c r="P79" t="s">
        <v>161</v>
      </c>
      <c r="Q79" s="77">
        <f>Q80/N65</f>
        <v>0.53982449450056458</v>
      </c>
      <c r="S79">
        <f t="shared" ref="S79:S142" si="16">F79-H79</f>
        <v>0</v>
      </c>
    </row>
    <row r="80" spans="1:19" x14ac:dyDescent="0.15">
      <c r="A80" s="60">
        <v>63</v>
      </c>
      <c r="B80" s="60" t="s">
        <v>119</v>
      </c>
      <c r="C80" s="3">
        <f t="shared" si="14"/>
        <v>6.2426748380774839</v>
      </c>
      <c r="D80" s="51">
        <v>42368</v>
      </c>
      <c r="E80" s="33">
        <v>148.9</v>
      </c>
      <c r="F80" s="60">
        <v>146</v>
      </c>
      <c r="G80" s="51">
        <v>42010</v>
      </c>
      <c r="H80" s="60">
        <v>146</v>
      </c>
      <c r="I80" s="60" t="s">
        <v>123</v>
      </c>
      <c r="J80" s="8" t="str">
        <f t="shared" si="12"/>
        <v/>
      </c>
      <c r="K80" s="8" t="str">
        <f t="shared" si="13"/>
        <v/>
      </c>
      <c r="L80" s="9">
        <f t="shared" ref="L80:L147" si="17">IFERROR(IF(AND(B80="売",I80="負"),(E80-H80),IF(AND(B80="買",I80="負"),(H80-E80),""))*100,"")</f>
        <v>-290.00000000000057</v>
      </c>
      <c r="M80" s="10">
        <f t="shared" ref="M80:M147" si="18">IFERROR(IF(L80&lt;=1,L80*C80*100,""),"")</f>
        <v>-181037.57030424738</v>
      </c>
      <c r="N80" s="4">
        <f t="shared" si="15"/>
        <v>3439713.8357807002</v>
      </c>
      <c r="O80" s="5"/>
      <c r="P80" t="s">
        <v>160</v>
      </c>
      <c r="Q80" s="71">
        <f>N80-N65</f>
        <v>1205878.8448024872</v>
      </c>
      <c r="R80" s="79">
        <f>SUM(M78:M80/N77)</f>
        <v>-4.7072967980295553E-2</v>
      </c>
      <c r="S80">
        <f t="shared" si="16"/>
        <v>0</v>
      </c>
    </row>
    <row r="81" spans="1:19" x14ac:dyDescent="0.15">
      <c r="A81" s="60"/>
      <c r="C81" s="3"/>
      <c r="D81" s="59" t="s">
        <v>158</v>
      </c>
      <c r="E81" s="33"/>
      <c r="F81" s="60"/>
      <c r="H81" s="60"/>
      <c r="I81" s="60"/>
      <c r="J81" s="8"/>
      <c r="K81" s="8"/>
      <c r="L81" s="9"/>
      <c r="M81" s="10"/>
      <c r="N81" s="4"/>
      <c r="O81" s="5"/>
      <c r="P81" s="12"/>
    </row>
    <row r="82" spans="1:19" x14ac:dyDescent="0.15">
      <c r="A82" s="60">
        <v>64</v>
      </c>
      <c r="B82" s="60" t="s">
        <v>120</v>
      </c>
      <c r="C82" s="3">
        <f>IFERROR(ABS(N80*$L$2/(E82-F82)/10000),"")</f>
        <v>8.3895459409286062</v>
      </c>
      <c r="D82" s="51">
        <v>42025</v>
      </c>
      <c r="E82" s="60">
        <v>147.12</v>
      </c>
      <c r="F82" s="60">
        <v>149.16999999999999</v>
      </c>
      <c r="G82" s="51">
        <v>42095</v>
      </c>
      <c r="H82" s="60">
        <v>143.57</v>
      </c>
      <c r="I82" s="60" t="s">
        <v>122</v>
      </c>
      <c r="J82" s="8">
        <f t="shared" si="12"/>
        <v>355.00000000000114</v>
      </c>
      <c r="K82" s="8">
        <f t="shared" si="13"/>
        <v>297828.88090296648</v>
      </c>
      <c r="L82" s="9" t="str">
        <f t="shared" si="17"/>
        <v/>
      </c>
      <c r="M82" s="10" t="str">
        <f t="shared" si="18"/>
        <v/>
      </c>
      <c r="N82" s="4">
        <f>IF(I82="ー",N80+0,IF(M82&lt;1,M82+N80,K82+N80))</f>
        <v>3737542.7166836667</v>
      </c>
      <c r="O82" s="5">
        <f t="shared" si="0"/>
        <v>1.7317073170731907</v>
      </c>
      <c r="P82" s="12"/>
      <c r="S82">
        <f t="shared" si="16"/>
        <v>5.5999999999999943</v>
      </c>
    </row>
    <row r="83" spans="1:19" x14ac:dyDescent="0.15">
      <c r="A83" s="60">
        <v>65</v>
      </c>
      <c r="B83" s="60" t="s">
        <v>120</v>
      </c>
      <c r="C83" s="3">
        <f t="shared" si="14"/>
        <v>8.0550489583699942</v>
      </c>
      <c r="D83" s="51">
        <v>42128</v>
      </c>
      <c r="E83" s="60">
        <v>142.56</v>
      </c>
      <c r="F83" s="60">
        <v>144.88</v>
      </c>
      <c r="G83" s="51">
        <v>42157</v>
      </c>
      <c r="H83" s="60">
        <v>134.77000000000001</v>
      </c>
      <c r="I83" s="60" t="s">
        <v>122</v>
      </c>
      <c r="J83" s="8">
        <f t="shared" si="12"/>
        <v>778.9999999999992</v>
      </c>
      <c r="K83" s="8">
        <f t="shared" si="13"/>
        <v>627488.31385702186</v>
      </c>
      <c r="L83" s="9" t="str">
        <f t="shared" si="17"/>
        <v/>
      </c>
      <c r="M83" s="10" t="str">
        <f t="shared" si="18"/>
        <v/>
      </c>
      <c r="N83" s="4">
        <f t="shared" si="15"/>
        <v>4365031.0305406889</v>
      </c>
      <c r="O83" s="5">
        <f t="shared" ref="O83:O150" si="19">(H83-E83)/(E83-F83)</f>
        <v>3.3577586206896615</v>
      </c>
      <c r="P83" s="12"/>
      <c r="S83">
        <f t="shared" si="16"/>
        <v>10.109999999999985</v>
      </c>
    </row>
    <row r="84" spans="1:19" x14ac:dyDescent="0.15">
      <c r="A84" s="60">
        <v>66</v>
      </c>
      <c r="B84" s="60" t="s">
        <v>119</v>
      </c>
      <c r="C84" s="3">
        <f t="shared" si="14"/>
        <v>9.6146057941424434</v>
      </c>
      <c r="D84" s="51">
        <v>42205</v>
      </c>
      <c r="E84" s="60">
        <v>133.72</v>
      </c>
      <c r="F84" s="60">
        <v>131.44999999999999</v>
      </c>
      <c r="G84" s="51">
        <v>42208</v>
      </c>
      <c r="H84" s="60">
        <v>131.44999999999999</v>
      </c>
      <c r="I84" s="60" t="s">
        <v>123</v>
      </c>
      <c r="J84" s="8" t="str">
        <f t="shared" si="12"/>
        <v/>
      </c>
      <c r="K84" s="8" t="str">
        <f t="shared" si="13"/>
        <v/>
      </c>
      <c r="L84" s="9">
        <f t="shared" si="17"/>
        <v>-227.00000000000102</v>
      </c>
      <c r="M84" s="10">
        <f t="shared" si="18"/>
        <v>-218251.55152703446</v>
      </c>
      <c r="N84" s="4">
        <f t="shared" si="15"/>
        <v>4146779.4790136544</v>
      </c>
      <c r="O84" s="5"/>
      <c r="P84" s="12"/>
      <c r="S84">
        <f t="shared" si="16"/>
        <v>0</v>
      </c>
    </row>
    <row r="85" spans="1:19" x14ac:dyDescent="0.15">
      <c r="A85" s="60">
        <v>67</v>
      </c>
      <c r="B85" s="60" t="s">
        <v>120</v>
      </c>
      <c r="C85" s="3">
        <f t="shared" si="14"/>
        <v>11.916032985671555</v>
      </c>
      <c r="D85" s="51">
        <v>42221</v>
      </c>
      <c r="E85" s="60">
        <v>135.71</v>
      </c>
      <c r="F85" s="60">
        <v>137.44999999999999</v>
      </c>
      <c r="G85" s="51">
        <v>42262</v>
      </c>
      <c r="H85" s="60">
        <v>129.63</v>
      </c>
      <c r="I85" s="60" t="s">
        <v>122</v>
      </c>
      <c r="J85" s="8">
        <f t="shared" si="12"/>
        <v>608.00000000000125</v>
      </c>
      <c r="K85" s="8">
        <f t="shared" si="13"/>
        <v>724494.80552883202</v>
      </c>
      <c r="L85" s="9" t="str">
        <f t="shared" si="17"/>
        <v/>
      </c>
      <c r="M85" s="10" t="str">
        <f t="shared" si="18"/>
        <v/>
      </c>
      <c r="N85" s="4">
        <f t="shared" si="15"/>
        <v>4871274.2845424861</v>
      </c>
      <c r="O85" s="5">
        <f t="shared" si="19"/>
        <v>3.4942528735632643</v>
      </c>
      <c r="P85" s="12"/>
      <c r="S85">
        <f t="shared" si="16"/>
        <v>7.8199999999999932</v>
      </c>
    </row>
    <row r="86" spans="1:19" x14ac:dyDescent="0.15">
      <c r="A86" s="60">
        <v>68</v>
      </c>
      <c r="B86" s="60" t="s">
        <v>120</v>
      </c>
      <c r="C86" s="3">
        <f>IFERROR(ABS(N84*$L$2/(E86-F86)/10000),"")</f>
        <v>6.8883380050060925</v>
      </c>
      <c r="D86" s="51">
        <v>42246</v>
      </c>
      <c r="E86" s="60">
        <v>130.56</v>
      </c>
      <c r="F86" s="60">
        <v>133.57</v>
      </c>
      <c r="G86" s="51">
        <v>42262</v>
      </c>
      <c r="H86" s="60">
        <v>129.63</v>
      </c>
      <c r="I86" s="60" t="s">
        <v>122</v>
      </c>
      <c r="J86" s="8">
        <f t="shared" si="12"/>
        <v>93.000000000000682</v>
      </c>
      <c r="K86" s="8">
        <f t="shared" si="13"/>
        <v>64061.543446557131</v>
      </c>
      <c r="L86" s="9" t="str">
        <f t="shared" si="17"/>
        <v/>
      </c>
      <c r="M86" s="10" t="str">
        <f t="shared" si="18"/>
        <v/>
      </c>
      <c r="N86" s="4">
        <f t="shared" si="15"/>
        <v>4935335.8279890437</v>
      </c>
      <c r="O86" s="5">
        <f t="shared" si="19"/>
        <v>0.30897009966777728</v>
      </c>
      <c r="P86" s="12"/>
      <c r="S86">
        <f t="shared" si="16"/>
        <v>3.9399999999999977</v>
      </c>
    </row>
    <row r="87" spans="1:19" x14ac:dyDescent="0.15">
      <c r="A87" s="60">
        <v>69</v>
      </c>
      <c r="B87" s="60" t="s">
        <v>120</v>
      </c>
      <c r="C87" s="3">
        <f>IFERROR(ABS(N84*$L$2/(E87-F87)/10000),"")</f>
        <v>10.213742559146926</v>
      </c>
      <c r="D87" s="51">
        <v>42250</v>
      </c>
      <c r="E87" s="60">
        <v>129.58000000000001</v>
      </c>
      <c r="F87" s="60">
        <v>131.61000000000001</v>
      </c>
      <c r="G87" s="51">
        <v>42262</v>
      </c>
      <c r="H87" s="60">
        <v>129.63</v>
      </c>
      <c r="I87" s="60" t="s">
        <v>123</v>
      </c>
      <c r="J87" s="8" t="str">
        <f t="shared" si="12"/>
        <v/>
      </c>
      <c r="K87" s="8" t="str">
        <f t="shared" si="13"/>
        <v/>
      </c>
      <c r="L87" s="9">
        <f t="shared" si="17"/>
        <v>-4.9999999999982947</v>
      </c>
      <c r="M87" s="10">
        <f t="shared" si="18"/>
        <v>-5106.8712795717211</v>
      </c>
      <c r="N87" s="4">
        <f t="shared" si="15"/>
        <v>4930228.9567094715</v>
      </c>
      <c r="O87" s="5"/>
      <c r="P87" s="12"/>
      <c r="S87">
        <f t="shared" si="16"/>
        <v>1.9800000000000182</v>
      </c>
    </row>
    <row r="88" spans="1:19" x14ac:dyDescent="0.15">
      <c r="A88" s="60">
        <v>70</v>
      </c>
      <c r="B88" s="60" t="s">
        <v>120</v>
      </c>
      <c r="C88" s="3">
        <f>IFERROR(ABS(N84*$L$2/(E88-F88)/10000),"")</f>
        <v>11.028668827163836</v>
      </c>
      <c r="D88" s="51">
        <v>42260</v>
      </c>
      <c r="E88" s="60">
        <v>128.72999999999999</v>
      </c>
      <c r="F88" s="60">
        <v>130.61000000000001</v>
      </c>
      <c r="G88" s="51">
        <v>42262</v>
      </c>
      <c r="H88" s="60">
        <v>129.63</v>
      </c>
      <c r="I88" s="60" t="s">
        <v>123</v>
      </c>
      <c r="J88" s="8" t="str">
        <f t="shared" si="12"/>
        <v/>
      </c>
      <c r="K88" s="8" t="str">
        <f t="shared" si="13"/>
        <v/>
      </c>
      <c r="L88" s="9">
        <f t="shared" si="17"/>
        <v>-90.000000000000568</v>
      </c>
      <c r="M88" s="10">
        <f t="shared" si="18"/>
        <v>-99258.01944447514</v>
      </c>
      <c r="N88" s="4">
        <f t="shared" si="15"/>
        <v>4830970.9372649966</v>
      </c>
      <c r="O88" s="5"/>
      <c r="P88" s="12"/>
      <c r="S88">
        <f t="shared" si="16"/>
        <v>0.98000000000001819</v>
      </c>
    </row>
    <row r="89" spans="1:19" x14ac:dyDescent="0.15">
      <c r="A89" s="60">
        <v>71</v>
      </c>
      <c r="B89" s="60" t="s">
        <v>120</v>
      </c>
      <c r="C89" s="3">
        <f t="shared" si="14"/>
        <v>12.261347556510151</v>
      </c>
      <c r="D89" s="51">
        <v>42275</v>
      </c>
      <c r="E89" s="60">
        <v>131.76</v>
      </c>
      <c r="F89" s="60">
        <v>133.72999999999999</v>
      </c>
      <c r="G89" s="51">
        <v>42304</v>
      </c>
      <c r="H89" s="60">
        <v>129.21</v>
      </c>
      <c r="I89" s="60" t="s">
        <v>122</v>
      </c>
      <c r="J89" s="8">
        <f t="shared" ref="J89:J156" si="20">IFERROR(IF(AND(B89="売",I89="勝"),ABS(E89-H89),IF(AND(B89="買",I89="勝"),ABS(E89-H89),""))*100,"")</f>
        <v>254.99999999999829</v>
      </c>
      <c r="K89" s="8">
        <f t="shared" ref="K89:K156" si="21">IFERROR(IF(J89&gt;=1,J89*C89*100,""),"")</f>
        <v>312664.3626910068</v>
      </c>
      <c r="L89" s="9" t="str">
        <f t="shared" si="17"/>
        <v/>
      </c>
      <c r="M89" s="10" t="str">
        <f t="shared" si="18"/>
        <v/>
      </c>
      <c r="N89" s="4">
        <f t="shared" si="15"/>
        <v>5143635.2999560032</v>
      </c>
      <c r="O89" s="5">
        <f t="shared" si="19"/>
        <v>1.2944162436548143</v>
      </c>
      <c r="P89" s="12"/>
      <c r="S89">
        <f t="shared" si="16"/>
        <v>4.5199999999999818</v>
      </c>
    </row>
    <row r="90" spans="1:19" x14ac:dyDescent="0.15">
      <c r="A90" s="60">
        <v>72</v>
      </c>
      <c r="B90" s="60" t="s">
        <v>119</v>
      </c>
      <c r="C90" s="3">
        <f t="shared" si="14"/>
        <v>19.632195801358758</v>
      </c>
      <c r="D90" s="51">
        <v>42305</v>
      </c>
      <c r="E90" s="60">
        <v>129.35</v>
      </c>
      <c r="F90" s="60">
        <v>128.04</v>
      </c>
      <c r="G90" s="51">
        <v>42306</v>
      </c>
      <c r="H90" s="60">
        <v>128.04</v>
      </c>
      <c r="I90" s="60" t="s">
        <v>123</v>
      </c>
      <c r="J90" s="8" t="str">
        <f t="shared" si="20"/>
        <v/>
      </c>
      <c r="K90" s="8" t="str">
        <f t="shared" si="21"/>
        <v/>
      </c>
      <c r="L90" s="9">
        <f t="shared" si="17"/>
        <v>-131.00000000000023</v>
      </c>
      <c r="M90" s="10">
        <f t="shared" si="18"/>
        <v>-257181.7649978002</v>
      </c>
      <c r="N90" s="4">
        <f t="shared" si="15"/>
        <v>4886453.5349582033</v>
      </c>
      <c r="O90" s="5"/>
      <c r="P90" t="s">
        <v>168</v>
      </c>
      <c r="Q90" s="11">
        <f>AVERAGE(O82:O93)</f>
        <v>1.9335651448224016</v>
      </c>
      <c r="S90">
        <f t="shared" si="16"/>
        <v>0</v>
      </c>
    </row>
    <row r="91" spans="1:19" x14ac:dyDescent="0.15">
      <c r="A91" s="60">
        <v>73</v>
      </c>
      <c r="B91" s="60" t="s">
        <v>119</v>
      </c>
      <c r="C91" s="3">
        <f t="shared" si="14"/>
        <v>8.9495485988245829</v>
      </c>
      <c r="D91" s="51">
        <v>42318</v>
      </c>
      <c r="E91" s="60">
        <v>133.06</v>
      </c>
      <c r="F91" s="60">
        <v>130.33000000000001</v>
      </c>
      <c r="G91" s="51">
        <v>42331</v>
      </c>
      <c r="H91" s="60">
        <v>132.13999999999999</v>
      </c>
      <c r="I91" s="60" t="s">
        <v>123</v>
      </c>
      <c r="J91" s="8" t="str">
        <f t="shared" si="20"/>
        <v/>
      </c>
      <c r="K91" s="8" t="str">
        <f t="shared" si="21"/>
        <v/>
      </c>
      <c r="L91" s="9">
        <f t="shared" si="17"/>
        <v>-92.000000000001592</v>
      </c>
      <c r="M91" s="10">
        <f t="shared" si="18"/>
        <v>-82335.847109187598</v>
      </c>
      <c r="N91" s="4">
        <f t="shared" si="15"/>
        <v>4804117.6878490159</v>
      </c>
      <c r="O91" s="5"/>
      <c r="P91" t="s">
        <v>166</v>
      </c>
      <c r="Q91" s="77">
        <f>COUNTIF(K82:K93,"&gt;0")/COUNTIF(N82:N93,"&gt;0")</f>
        <v>0.5</v>
      </c>
      <c r="S91">
        <f t="shared" si="16"/>
        <v>-1.8099999999999739</v>
      </c>
    </row>
    <row r="92" spans="1:19" x14ac:dyDescent="0.15">
      <c r="A92" s="60">
        <v>74</v>
      </c>
      <c r="B92" s="60" t="s">
        <v>120</v>
      </c>
      <c r="C92" s="3">
        <f t="shared" si="14"/>
        <v>20.887468208039095</v>
      </c>
      <c r="D92" s="56">
        <v>42334</v>
      </c>
      <c r="E92" s="60">
        <v>130.93</v>
      </c>
      <c r="F92" s="60">
        <v>132.08000000000001</v>
      </c>
      <c r="G92" s="51">
        <v>42346</v>
      </c>
      <c r="H92" s="60">
        <v>132.08000000000001</v>
      </c>
      <c r="I92" s="60" t="s">
        <v>123</v>
      </c>
      <c r="J92" s="8" t="str">
        <f t="shared" si="20"/>
        <v/>
      </c>
      <c r="K92" s="8" t="str">
        <f t="shared" si="21"/>
        <v/>
      </c>
      <c r="L92" s="9">
        <f t="shared" si="17"/>
        <v>-115.00000000000057</v>
      </c>
      <c r="M92" s="10">
        <f t="shared" si="18"/>
        <v>-240205.8843924508</v>
      </c>
      <c r="N92" s="4">
        <f t="shared" si="15"/>
        <v>4563911.8034565654</v>
      </c>
      <c r="O92" s="5"/>
      <c r="P92" t="s">
        <v>161</v>
      </c>
      <c r="Q92" s="77">
        <f>Q93/N80</f>
        <v>0.42065468233693509</v>
      </c>
      <c r="S92">
        <f t="shared" si="16"/>
        <v>0</v>
      </c>
    </row>
    <row r="93" spans="1:19" x14ac:dyDescent="0.15">
      <c r="A93" s="60">
        <v>75</v>
      </c>
      <c r="B93" s="60" t="s">
        <v>120</v>
      </c>
      <c r="C93" s="3">
        <f t="shared" si="14"/>
        <v>16.299685012344813</v>
      </c>
      <c r="D93" s="51">
        <v>42355</v>
      </c>
      <c r="E93" s="60">
        <v>129.97999999999999</v>
      </c>
      <c r="F93" s="60">
        <v>131.38</v>
      </c>
      <c r="G93" s="51">
        <v>42008</v>
      </c>
      <c r="H93" s="60">
        <v>128</v>
      </c>
      <c r="I93" s="60" t="s">
        <v>122</v>
      </c>
      <c r="J93" s="8">
        <f t="shared" si="20"/>
        <v>197.99999999999898</v>
      </c>
      <c r="K93" s="8">
        <f t="shared" si="21"/>
        <v>322733.76324442565</v>
      </c>
      <c r="L93" s="9" t="str">
        <f t="shared" si="17"/>
        <v/>
      </c>
      <c r="M93" s="10" t="str">
        <f t="shared" si="18"/>
        <v/>
      </c>
      <c r="N93" s="4">
        <f t="shared" si="15"/>
        <v>4886645.5667009912</v>
      </c>
      <c r="O93" s="5">
        <f t="shared" si="19"/>
        <v>1.4142857142857013</v>
      </c>
      <c r="P93" t="s">
        <v>160</v>
      </c>
      <c r="Q93" s="71">
        <f>N93-N80</f>
        <v>1446931.730920291</v>
      </c>
      <c r="R93" s="79">
        <f>SUM(M90:M92)/N89</f>
        <v>-0.11270695970696003</v>
      </c>
      <c r="S93">
        <f t="shared" si="16"/>
        <v>3.3799999999999955</v>
      </c>
    </row>
    <row r="94" spans="1:19" x14ac:dyDescent="0.15">
      <c r="A94" s="60"/>
      <c r="C94" s="3"/>
      <c r="D94" s="59" t="s">
        <v>159</v>
      </c>
      <c r="E94" s="60"/>
      <c r="F94" s="60"/>
      <c r="H94" s="60"/>
      <c r="I94" s="60"/>
      <c r="J94" s="8"/>
      <c r="K94" s="8"/>
      <c r="L94" s="9"/>
      <c r="M94" s="10"/>
      <c r="N94" s="4"/>
      <c r="O94" s="5"/>
      <c r="P94" s="12"/>
    </row>
    <row r="95" spans="1:19" x14ac:dyDescent="0.15">
      <c r="A95" s="60">
        <v>76</v>
      </c>
      <c r="B95" s="60" t="s">
        <v>119</v>
      </c>
      <c r="C95" s="3">
        <f>IFERROR(ABS(N93*$L$2/(E95-F95)/10000),"")</f>
        <v>16.850501954141151</v>
      </c>
      <c r="D95" s="51">
        <v>42024</v>
      </c>
      <c r="E95" s="60">
        <v>132.11000000000001</v>
      </c>
      <c r="F95" s="60">
        <v>130.66</v>
      </c>
      <c r="G95" s="51">
        <v>42029</v>
      </c>
      <c r="H95" s="60">
        <v>130.66</v>
      </c>
      <c r="I95" s="60" t="s">
        <v>123</v>
      </c>
      <c r="J95" s="8" t="str">
        <f t="shared" si="20"/>
        <v/>
      </c>
      <c r="K95" s="8" t="str">
        <f t="shared" si="21"/>
        <v/>
      </c>
      <c r="L95" s="9">
        <f t="shared" si="17"/>
        <v>-145.00000000000171</v>
      </c>
      <c r="M95" s="10">
        <f>IFERROR(IF(L95&lt;=1,L95*C95*100,""),"")</f>
        <v>-244332.27833504957</v>
      </c>
      <c r="N95" s="4">
        <f>IF(I95="ー",N93+0,IF(M95&lt;1,M95+N93,K95+N93))</f>
        <v>4642313.2883659415</v>
      </c>
      <c r="O95" s="5"/>
      <c r="P95" s="12"/>
      <c r="S95">
        <f t="shared" si="16"/>
        <v>0</v>
      </c>
    </row>
    <row r="96" spans="1:19" x14ac:dyDescent="0.15">
      <c r="A96" s="60">
        <v>77</v>
      </c>
      <c r="B96" s="60" t="s">
        <v>119</v>
      </c>
      <c r="C96" s="3">
        <f t="shared" si="14"/>
        <v>12.614981761863948</v>
      </c>
      <c r="D96" s="51">
        <v>42039</v>
      </c>
      <c r="E96" s="60">
        <v>132.72</v>
      </c>
      <c r="F96" s="60">
        <v>130.88</v>
      </c>
      <c r="G96" s="51">
        <v>42059</v>
      </c>
      <c r="H96" s="60">
        <v>133.16</v>
      </c>
      <c r="I96" s="60" t="s">
        <v>122</v>
      </c>
      <c r="J96" s="8">
        <f t="shared" si="20"/>
        <v>43.999999999999773</v>
      </c>
      <c r="K96" s="8">
        <f t="shared" si="21"/>
        <v>55505.919752201087</v>
      </c>
      <c r="L96" s="9" t="str">
        <f t="shared" si="17"/>
        <v/>
      </c>
      <c r="M96" s="10" t="str">
        <f t="shared" si="18"/>
        <v/>
      </c>
      <c r="N96" s="4">
        <f t="shared" si="15"/>
        <v>4697819.2081181426</v>
      </c>
      <c r="O96" s="5">
        <f t="shared" si="19"/>
        <v>0.23913043478260701</v>
      </c>
      <c r="P96" s="12"/>
      <c r="S96">
        <f t="shared" si="16"/>
        <v>-2.2800000000000011</v>
      </c>
    </row>
    <row r="97" spans="1:19" x14ac:dyDescent="0.15">
      <c r="A97" s="60">
        <v>78</v>
      </c>
      <c r="B97" s="60" t="s">
        <v>120</v>
      </c>
      <c r="C97" s="3">
        <f t="shared" si="14"/>
        <v>9.9110109875909984</v>
      </c>
      <c r="D97" s="51">
        <v>42059</v>
      </c>
      <c r="E97" s="60">
        <v>131.47999999999999</v>
      </c>
      <c r="F97" s="60">
        <v>133.85</v>
      </c>
      <c r="G97" s="51">
        <v>42064</v>
      </c>
      <c r="H97" s="60">
        <v>133.85</v>
      </c>
      <c r="I97" s="60" t="s">
        <v>123</v>
      </c>
      <c r="J97" s="8" t="str">
        <f t="shared" si="20"/>
        <v/>
      </c>
      <c r="K97" s="8" t="str">
        <f t="shared" si="21"/>
        <v/>
      </c>
      <c r="L97" s="9">
        <f t="shared" si="17"/>
        <v>-237.00000000000045</v>
      </c>
      <c r="M97" s="10">
        <f t="shared" si="18"/>
        <v>-234890.96040590713</v>
      </c>
      <c r="N97" s="4">
        <f t="shared" si="15"/>
        <v>4462928.2477122359</v>
      </c>
      <c r="O97" s="5"/>
      <c r="P97" s="12"/>
      <c r="S97">
        <f t="shared" si="16"/>
        <v>0</v>
      </c>
    </row>
    <row r="98" spans="1:19" x14ac:dyDescent="0.15">
      <c r="A98" s="60">
        <v>79</v>
      </c>
      <c r="B98" s="60" t="s">
        <v>120</v>
      </c>
      <c r="C98" s="3">
        <f t="shared" si="14"/>
        <v>15.496278637889427</v>
      </c>
      <c r="D98" s="51">
        <v>42073</v>
      </c>
      <c r="E98" s="60">
        <v>132.88999999999999</v>
      </c>
      <c r="F98" s="60">
        <v>134.33000000000001</v>
      </c>
      <c r="G98" s="51">
        <v>42081</v>
      </c>
      <c r="H98" s="60">
        <v>130.51</v>
      </c>
      <c r="I98" s="60" t="s">
        <v>122</v>
      </c>
      <c r="J98" s="8">
        <f t="shared" si="20"/>
        <v>237.99999999999955</v>
      </c>
      <c r="K98" s="8">
        <f t="shared" si="21"/>
        <v>368811.43158176763</v>
      </c>
      <c r="L98" s="9" t="str">
        <f t="shared" si="17"/>
        <v/>
      </c>
      <c r="M98" s="10" t="str">
        <f t="shared" si="18"/>
        <v/>
      </c>
      <c r="N98" s="4">
        <f t="shared" si="15"/>
        <v>4831739.6792940032</v>
      </c>
      <c r="O98" s="5">
        <f t="shared" si="19"/>
        <v>1.6527777777777446</v>
      </c>
      <c r="P98" s="12"/>
      <c r="S98">
        <f t="shared" si="16"/>
        <v>3.8200000000000216</v>
      </c>
    </row>
    <row r="99" spans="1:19" x14ac:dyDescent="0.15">
      <c r="A99" s="60">
        <v>80</v>
      </c>
      <c r="B99" s="60" t="s">
        <v>119</v>
      </c>
      <c r="C99" s="3">
        <f t="shared" si="14"/>
        <v>4.5241008233089888</v>
      </c>
      <c r="D99" s="51">
        <v>42081</v>
      </c>
      <c r="E99" s="60">
        <v>132.49</v>
      </c>
      <c r="F99" s="60">
        <v>127.15</v>
      </c>
      <c r="G99" s="51">
        <v>42106</v>
      </c>
      <c r="H99" s="60">
        <v>139.62</v>
      </c>
      <c r="I99" s="60" t="s">
        <v>122</v>
      </c>
      <c r="J99" s="8">
        <f t="shared" si="20"/>
        <v>712.99999999999955</v>
      </c>
      <c r="K99" s="8">
        <f t="shared" si="21"/>
        <v>322568.3887019307</v>
      </c>
      <c r="L99" s="9" t="str">
        <f t="shared" si="17"/>
        <v/>
      </c>
      <c r="M99" s="10" t="str">
        <f t="shared" si="18"/>
        <v/>
      </c>
      <c r="N99" s="4">
        <f t="shared" si="15"/>
        <v>5154308.0679959338</v>
      </c>
      <c r="O99" s="5">
        <f t="shared" si="19"/>
        <v>1.3352059925093616</v>
      </c>
      <c r="P99" s="12"/>
      <c r="S99">
        <f t="shared" si="16"/>
        <v>-12.469999999999999</v>
      </c>
    </row>
    <row r="100" spans="1:19" x14ac:dyDescent="0.15">
      <c r="A100" s="60">
        <v>81</v>
      </c>
      <c r="B100" s="60" t="s">
        <v>119</v>
      </c>
      <c r="C100" s="3">
        <f>IFERROR(ABS(N98*$L$2/(E100-F100)/10000),"")</f>
        <v>24.65173305762201</v>
      </c>
      <c r="D100" s="51">
        <v>42091</v>
      </c>
      <c r="E100" s="60">
        <v>131.08000000000001</v>
      </c>
      <c r="F100" s="60">
        <v>130.1</v>
      </c>
      <c r="G100" s="51">
        <v>42106</v>
      </c>
      <c r="H100" s="60">
        <v>139.62</v>
      </c>
      <c r="I100" s="60" t="s">
        <v>122</v>
      </c>
      <c r="J100" s="8">
        <f t="shared" si="20"/>
        <v>853.9999999999992</v>
      </c>
      <c r="K100" s="8">
        <f t="shared" si="21"/>
        <v>2105258.0031209178</v>
      </c>
      <c r="L100" s="9" t="str">
        <f t="shared" si="17"/>
        <v/>
      </c>
      <c r="M100" s="10" t="str">
        <f t="shared" si="18"/>
        <v/>
      </c>
      <c r="N100" s="4">
        <f t="shared" si="15"/>
        <v>7259566.0711168516</v>
      </c>
      <c r="O100" s="5">
        <f t="shared" si="19"/>
        <v>8.7142857142855448</v>
      </c>
      <c r="P100" s="12"/>
      <c r="S100">
        <f t="shared" si="16"/>
        <v>-9.5200000000000102</v>
      </c>
    </row>
    <row r="101" spans="1:19" x14ac:dyDescent="0.15">
      <c r="A101" s="60">
        <v>82</v>
      </c>
      <c r="B101" s="60" t="s">
        <v>120</v>
      </c>
      <c r="C101" s="3">
        <f t="shared" si="14"/>
        <v>21.478006127564679</v>
      </c>
      <c r="D101" s="51">
        <v>42109</v>
      </c>
      <c r="E101" s="60">
        <v>135.36000000000001</v>
      </c>
      <c r="F101" s="60">
        <v>137.05000000000001</v>
      </c>
      <c r="G101" s="51">
        <v>42122</v>
      </c>
      <c r="H101" s="60">
        <v>137.05000000000001</v>
      </c>
      <c r="I101" s="60" t="s">
        <v>123</v>
      </c>
      <c r="J101" s="8" t="str">
        <f t="shared" si="20"/>
        <v/>
      </c>
      <c r="K101" s="8" t="str">
        <f t="shared" si="21"/>
        <v/>
      </c>
      <c r="L101" s="9">
        <f t="shared" si="17"/>
        <v>-168.99999999999977</v>
      </c>
      <c r="M101" s="10">
        <f t="shared" si="18"/>
        <v>-362978.30355584261</v>
      </c>
      <c r="N101" s="4">
        <f t="shared" si="15"/>
        <v>6896587.7675610092</v>
      </c>
      <c r="O101" s="5"/>
      <c r="P101" s="12"/>
      <c r="S101">
        <f t="shared" si="16"/>
        <v>0</v>
      </c>
    </row>
    <row r="102" spans="1:19" x14ac:dyDescent="0.15">
      <c r="A102" s="60">
        <v>83</v>
      </c>
      <c r="B102" s="60" t="s">
        <v>120</v>
      </c>
      <c r="C102" s="3">
        <f t="shared" si="14"/>
        <v>17.774710741136641</v>
      </c>
      <c r="D102" s="51">
        <v>42136</v>
      </c>
      <c r="E102" s="60">
        <v>131.22</v>
      </c>
      <c r="F102" s="60">
        <v>133.16</v>
      </c>
      <c r="G102" s="51">
        <v>42141</v>
      </c>
      <c r="H102" s="60">
        <v>133.16</v>
      </c>
      <c r="I102" s="60" t="s">
        <v>123</v>
      </c>
      <c r="J102" s="8" t="str">
        <f t="shared" si="20"/>
        <v/>
      </c>
      <c r="K102" s="8" t="str">
        <f t="shared" si="21"/>
        <v/>
      </c>
      <c r="L102" s="9">
        <f t="shared" si="17"/>
        <v>-193.99999999999977</v>
      </c>
      <c r="M102" s="10">
        <f t="shared" si="18"/>
        <v>-344829.38837805041</v>
      </c>
      <c r="N102" s="4">
        <f t="shared" si="15"/>
        <v>6551758.379182959</v>
      </c>
      <c r="O102" s="5"/>
      <c r="P102" s="12"/>
      <c r="S102">
        <f t="shared" si="16"/>
        <v>0</v>
      </c>
    </row>
    <row r="103" spans="1:19" x14ac:dyDescent="0.15">
      <c r="A103" s="60">
        <v>84</v>
      </c>
      <c r="B103" s="60" t="s">
        <v>119</v>
      </c>
      <c r="C103" s="3">
        <f t="shared" si="14"/>
        <v>28.990081323818526</v>
      </c>
      <c r="D103" s="51">
        <v>42143</v>
      </c>
      <c r="E103" s="60">
        <v>132.96</v>
      </c>
      <c r="F103" s="60">
        <v>131.83000000000001</v>
      </c>
      <c r="G103" s="51">
        <v>42147</v>
      </c>
      <c r="H103" s="60">
        <v>131.83000000000001</v>
      </c>
      <c r="I103" s="60" t="s">
        <v>123</v>
      </c>
      <c r="J103" s="8" t="str">
        <f t="shared" si="20"/>
        <v/>
      </c>
      <c r="K103" s="8" t="str">
        <f t="shared" si="21"/>
        <v/>
      </c>
      <c r="L103" s="9">
        <f t="shared" si="17"/>
        <v>-112.99999999999955</v>
      </c>
      <c r="M103" s="10">
        <f t="shared" si="18"/>
        <v>-327587.918959148</v>
      </c>
      <c r="N103" s="4">
        <f t="shared" si="15"/>
        <v>6224170.4602238107</v>
      </c>
      <c r="O103" s="5"/>
      <c r="P103" s="12"/>
      <c r="R103" s="79">
        <f>SUM(M101:M103)/N100</f>
        <v>-0.142625</v>
      </c>
      <c r="S103">
        <f t="shared" si="16"/>
        <v>0</v>
      </c>
    </row>
    <row r="104" spans="1:19" x14ac:dyDescent="0.15">
      <c r="A104" s="60">
        <v>85</v>
      </c>
      <c r="B104" s="60" t="s">
        <v>120</v>
      </c>
      <c r="C104" s="3">
        <f t="shared" si="14"/>
        <v>13.530805348312732</v>
      </c>
      <c r="D104" s="51">
        <v>42156</v>
      </c>
      <c r="E104" s="60">
        <v>132.05000000000001</v>
      </c>
      <c r="F104" s="60">
        <v>134.35</v>
      </c>
      <c r="G104" s="51">
        <v>42220</v>
      </c>
      <c r="H104" s="60">
        <v>128.47999999999999</v>
      </c>
      <c r="I104" s="60" t="s">
        <v>122</v>
      </c>
      <c r="J104" s="8">
        <f t="shared" si="20"/>
        <v>357.00000000000216</v>
      </c>
      <c r="K104" s="8">
        <f t="shared" si="21"/>
        <v>483049.75093476754</v>
      </c>
      <c r="L104" s="9" t="str">
        <f t="shared" si="17"/>
        <v/>
      </c>
      <c r="M104" s="10" t="str">
        <f t="shared" si="18"/>
        <v/>
      </c>
      <c r="N104" s="4">
        <f t="shared" si="15"/>
        <v>6707220.2111585783</v>
      </c>
      <c r="O104" s="5">
        <f t="shared" si="19"/>
        <v>1.5521739130434991</v>
      </c>
      <c r="P104" s="12"/>
      <c r="S104">
        <f t="shared" si="16"/>
        <v>5.8700000000000045</v>
      </c>
    </row>
    <row r="105" spans="1:19" x14ac:dyDescent="0.15">
      <c r="A105" s="60">
        <v>86</v>
      </c>
      <c r="B105" s="60" t="s">
        <v>120</v>
      </c>
      <c r="C105" s="3">
        <f>IFERROR(ABS(N103*$L$2/(E105-F105)/10000),"")</f>
        <v>16.379395947957349</v>
      </c>
      <c r="D105" s="51">
        <v>42158</v>
      </c>
      <c r="E105" s="60">
        <v>130.66</v>
      </c>
      <c r="F105" s="60">
        <v>132.56</v>
      </c>
      <c r="G105" s="51">
        <v>42220</v>
      </c>
      <c r="H105" s="60">
        <v>128.47999999999999</v>
      </c>
      <c r="I105" s="60" t="s">
        <v>122</v>
      </c>
      <c r="J105" s="8">
        <f t="shared" si="20"/>
        <v>218.00000000000068</v>
      </c>
      <c r="K105" s="8">
        <f t="shared" si="21"/>
        <v>357070.83166547131</v>
      </c>
      <c r="L105" s="9" t="str">
        <f t="shared" si="17"/>
        <v/>
      </c>
      <c r="M105" s="10" t="str">
        <f t="shared" si="18"/>
        <v/>
      </c>
      <c r="N105" s="4">
        <f t="shared" si="15"/>
        <v>7064291.0428240495</v>
      </c>
      <c r="O105" s="5">
        <f t="shared" si="19"/>
        <v>1.1473684210526318</v>
      </c>
      <c r="P105" s="12"/>
      <c r="S105">
        <f t="shared" si="16"/>
        <v>4.0800000000000125</v>
      </c>
    </row>
    <row r="106" spans="1:19" x14ac:dyDescent="0.15">
      <c r="A106" s="60">
        <v>87</v>
      </c>
      <c r="B106" s="60" t="s">
        <v>120</v>
      </c>
      <c r="C106" s="3">
        <f>IFERROR(ABS(N103*$L$2/(E106-F106)/10000),"")</f>
        <v>23.224516642626099</v>
      </c>
      <c r="D106" s="51">
        <v>42170</v>
      </c>
      <c r="E106" s="60">
        <v>130.68</v>
      </c>
      <c r="F106" s="60">
        <v>132.02000000000001</v>
      </c>
      <c r="G106" s="51">
        <v>42220</v>
      </c>
      <c r="H106" s="60">
        <v>128.47999999999999</v>
      </c>
      <c r="I106" s="60" t="s">
        <v>122</v>
      </c>
      <c r="J106" s="8">
        <f t="shared" si="20"/>
        <v>220.00000000000171</v>
      </c>
      <c r="K106" s="8">
        <f t="shared" si="21"/>
        <v>510939.36613777815</v>
      </c>
      <c r="L106" s="9" t="str">
        <f t="shared" si="17"/>
        <v/>
      </c>
      <c r="M106" s="10" t="str">
        <f t="shared" si="18"/>
        <v/>
      </c>
      <c r="N106" s="4">
        <f t="shared" si="15"/>
        <v>7575230.4089618279</v>
      </c>
      <c r="O106" s="5">
        <f t="shared" si="19"/>
        <v>1.6417910447761279</v>
      </c>
      <c r="P106" s="12"/>
      <c r="S106">
        <f t="shared" si="16"/>
        <v>3.5400000000000205</v>
      </c>
    </row>
    <row r="107" spans="1:19" x14ac:dyDescent="0.15">
      <c r="A107" s="60">
        <v>88</v>
      </c>
      <c r="B107" s="60" t="s">
        <v>120</v>
      </c>
      <c r="C107" s="3">
        <f>IFERROR(ABS(N103*$L$2/(E107-F107)/10000),"")</f>
        <v>20.077969226528275</v>
      </c>
      <c r="D107" s="51">
        <v>42177</v>
      </c>
      <c r="E107" s="60">
        <v>128.97999999999999</v>
      </c>
      <c r="F107" s="60">
        <v>130.53</v>
      </c>
      <c r="G107" s="51">
        <v>42190</v>
      </c>
      <c r="H107" s="60">
        <v>130.53</v>
      </c>
      <c r="I107" s="60" t="s">
        <v>123</v>
      </c>
      <c r="J107" s="8" t="str">
        <f t="shared" si="20"/>
        <v/>
      </c>
      <c r="K107" s="8" t="str">
        <f t="shared" si="21"/>
        <v/>
      </c>
      <c r="L107" s="9">
        <f t="shared" si="17"/>
        <v>-155.00000000000114</v>
      </c>
      <c r="M107" s="10">
        <f t="shared" si="18"/>
        <v>-311208.52301119053</v>
      </c>
      <c r="N107" s="4">
        <f t="shared" si="15"/>
        <v>7264021.885950637</v>
      </c>
      <c r="O107" s="5"/>
      <c r="P107" s="12"/>
      <c r="S107">
        <f t="shared" si="16"/>
        <v>0</v>
      </c>
    </row>
    <row r="108" spans="1:19" x14ac:dyDescent="0.15">
      <c r="A108" s="60">
        <v>89</v>
      </c>
      <c r="B108" s="60" t="s">
        <v>120</v>
      </c>
      <c r="C108" s="3">
        <f>IFERROR(ABS(N103*$L$2/(E108-F108)/10000),"")</f>
        <v>23.576403258423138</v>
      </c>
      <c r="D108" s="51">
        <v>42191</v>
      </c>
      <c r="E108" s="60">
        <v>128.94999999999999</v>
      </c>
      <c r="F108" s="60">
        <v>130.27000000000001</v>
      </c>
      <c r="G108" s="51">
        <v>42220</v>
      </c>
      <c r="H108" s="60">
        <v>128.47999999999999</v>
      </c>
      <c r="I108" s="60" t="s">
        <v>122</v>
      </c>
      <c r="J108" s="8">
        <f t="shared" si="20"/>
        <v>46.999999999999886</v>
      </c>
      <c r="K108" s="8">
        <f t="shared" si="21"/>
        <v>110809.09531458849</v>
      </c>
      <c r="L108" s="9" t="str">
        <f t="shared" si="17"/>
        <v/>
      </c>
      <c r="M108" s="10" t="str">
        <f t="shared" si="18"/>
        <v/>
      </c>
      <c r="N108" s="4">
        <f t="shared" si="15"/>
        <v>7374830.9812652254</v>
      </c>
      <c r="O108" s="5">
        <f t="shared" si="19"/>
        <v>0.35606060606059936</v>
      </c>
      <c r="P108" s="12"/>
      <c r="S108">
        <f t="shared" si="16"/>
        <v>1.7900000000000205</v>
      </c>
    </row>
    <row r="109" spans="1:19" x14ac:dyDescent="0.15">
      <c r="A109" s="60">
        <v>90</v>
      </c>
      <c r="B109" s="60" t="s">
        <v>120</v>
      </c>
      <c r="C109" s="3">
        <f>IFERROR(ABS(N103*$L$2/(E109-F109)/10000),"")</f>
        <v>33.107289682041127</v>
      </c>
      <c r="D109" s="51">
        <v>42210</v>
      </c>
      <c r="E109" s="60">
        <v>127.08</v>
      </c>
      <c r="F109" s="60">
        <v>128.02000000000001</v>
      </c>
      <c r="G109" s="51">
        <v>42211</v>
      </c>
      <c r="H109" s="60">
        <v>128.02000000000001</v>
      </c>
      <c r="I109" s="60" t="s">
        <v>123</v>
      </c>
      <c r="J109" s="8" t="str">
        <f t="shared" si="20"/>
        <v/>
      </c>
      <c r="K109" s="8" t="str">
        <f t="shared" si="21"/>
        <v/>
      </c>
      <c r="L109" s="9">
        <f t="shared" si="17"/>
        <v>-94.000000000001194</v>
      </c>
      <c r="M109" s="10">
        <f t="shared" si="18"/>
        <v>-311208.52301119053</v>
      </c>
      <c r="N109" s="4">
        <f>IF(I109="ー",N108+0,IF(M109&lt;1,M109+N108,K109+N108))</f>
        <v>7063622.4582540346</v>
      </c>
      <c r="O109" s="5"/>
      <c r="P109" s="12"/>
      <c r="S109">
        <f t="shared" si="16"/>
        <v>0</v>
      </c>
    </row>
    <row r="110" spans="1:19" x14ac:dyDescent="0.15">
      <c r="A110" s="60">
        <v>91</v>
      </c>
      <c r="B110" s="60" t="s">
        <v>120</v>
      </c>
      <c r="C110" s="3">
        <f t="shared" si="14"/>
        <v>30.446648526957137</v>
      </c>
      <c r="D110" s="51">
        <v>42240</v>
      </c>
      <c r="E110" s="60">
        <v>125.58</v>
      </c>
      <c r="F110" s="60">
        <v>126.74</v>
      </c>
      <c r="G110" s="51">
        <v>42276</v>
      </c>
      <c r="H110" s="60">
        <v>120.55</v>
      </c>
      <c r="I110" s="60" t="s">
        <v>122</v>
      </c>
      <c r="J110" s="8">
        <f t="shared" si="20"/>
        <v>503.00000000000011</v>
      </c>
      <c r="K110" s="8">
        <f t="shared" si="21"/>
        <v>1531466.4209059444</v>
      </c>
      <c r="L110" s="9" t="str">
        <f>IFERROR(IF(AND(B110="売",I110="負"),(E110-H110),IF(AND(B110="買",I110="負"),(H110-E110),""))*100,"")</f>
        <v/>
      </c>
      <c r="M110" s="10" t="str">
        <f t="shared" si="18"/>
        <v/>
      </c>
      <c r="N110" s="4">
        <f t="shared" si="15"/>
        <v>8595088.8791599795</v>
      </c>
      <c r="O110" s="5">
        <f t="shared" si="19"/>
        <v>4.3362068965517375</v>
      </c>
      <c r="P110" s="12"/>
      <c r="S110">
        <f t="shared" si="16"/>
        <v>6.1899999999999977</v>
      </c>
    </row>
    <row r="111" spans="1:19" x14ac:dyDescent="0.15">
      <c r="A111" s="60">
        <v>92</v>
      </c>
      <c r="B111" s="60" t="s">
        <v>120</v>
      </c>
      <c r="C111" s="3">
        <f>IFERROR(ABS(N109*$L$2/(E111-F111)/10000),"")</f>
        <v>20.898291296609599</v>
      </c>
      <c r="D111" s="51">
        <v>42246</v>
      </c>
      <c r="E111" s="60">
        <v>124.63</v>
      </c>
      <c r="F111" s="60">
        <v>126.32</v>
      </c>
      <c r="G111" s="51">
        <v>42276</v>
      </c>
      <c r="H111" s="60">
        <v>120.55</v>
      </c>
      <c r="I111" s="60" t="s">
        <v>122</v>
      </c>
      <c r="J111" s="8">
        <f t="shared" si="20"/>
        <v>407.99999999999983</v>
      </c>
      <c r="K111" s="8">
        <f t="shared" si="21"/>
        <v>852650.28490167134</v>
      </c>
      <c r="L111" s="9" t="str">
        <f t="shared" si="17"/>
        <v/>
      </c>
      <c r="M111" s="10" t="str">
        <f t="shared" si="18"/>
        <v/>
      </c>
      <c r="N111" s="4">
        <f t="shared" si="15"/>
        <v>9447739.1640616506</v>
      </c>
      <c r="O111" s="5">
        <f t="shared" si="19"/>
        <v>2.4142011834319548</v>
      </c>
      <c r="P111" t="s">
        <v>168</v>
      </c>
      <c r="Q111" s="11">
        <f>AVERAGE(O95:O114)</f>
        <v>1.9541960026654517</v>
      </c>
      <c r="S111">
        <f t="shared" si="16"/>
        <v>5.769999999999996</v>
      </c>
    </row>
    <row r="112" spans="1:19" x14ac:dyDescent="0.15">
      <c r="A112" s="60">
        <v>93</v>
      </c>
      <c r="B112" s="60" t="s">
        <v>120</v>
      </c>
      <c r="C112" s="3">
        <f>IFERROR(ABS(N109*$L$2/(E112-F112)/10000),"")</f>
        <v>18.786229942165033</v>
      </c>
      <c r="D112" s="51">
        <v>42256</v>
      </c>
      <c r="E112" s="60">
        <v>122.34</v>
      </c>
      <c r="F112" s="60">
        <v>124.22</v>
      </c>
      <c r="G112" s="51">
        <v>42276</v>
      </c>
      <c r="H112" s="60">
        <v>120.55</v>
      </c>
      <c r="I112" s="60" t="s">
        <v>122</v>
      </c>
      <c r="J112" s="8">
        <f t="shared" si="20"/>
        <v>179.00000000000063</v>
      </c>
      <c r="K112" s="8">
        <f t="shared" si="21"/>
        <v>336273.51596475526</v>
      </c>
      <c r="L112" s="9" t="str">
        <f t="shared" si="17"/>
        <v/>
      </c>
      <c r="M112" s="10" t="str">
        <f t="shared" si="18"/>
        <v/>
      </c>
      <c r="N112" s="4">
        <f t="shared" si="15"/>
        <v>9784012.6800264064</v>
      </c>
      <c r="O112" s="5">
        <f t="shared" si="19"/>
        <v>0.95212765957447376</v>
      </c>
      <c r="P112" t="s">
        <v>166</v>
      </c>
      <c r="Q112" s="77">
        <f>COUNTIF(K95:K114,"&gt;0")/COUNTIF(N95:N114,"&gt;0")</f>
        <v>0.65</v>
      </c>
      <c r="S112">
        <f t="shared" si="16"/>
        <v>3.6700000000000017</v>
      </c>
    </row>
    <row r="113" spans="1:19" x14ac:dyDescent="0.15">
      <c r="A113" s="60">
        <v>94</v>
      </c>
      <c r="B113" s="60" t="s">
        <v>119</v>
      </c>
      <c r="C113" s="3">
        <f t="shared" si="14"/>
        <v>28.114978965593206</v>
      </c>
      <c r="D113" s="51">
        <v>42284</v>
      </c>
      <c r="E113" s="60">
        <v>119.97</v>
      </c>
      <c r="F113" s="60">
        <v>118.23</v>
      </c>
      <c r="G113" s="51">
        <v>42329</v>
      </c>
      <c r="H113" s="60">
        <v>120.67</v>
      </c>
      <c r="I113" s="60" t="s">
        <v>122</v>
      </c>
      <c r="J113" s="8">
        <f t="shared" si="20"/>
        <v>70.000000000000284</v>
      </c>
      <c r="K113" s="8">
        <f t="shared" si="21"/>
        <v>196804.85275915323</v>
      </c>
      <c r="L113" s="9" t="str">
        <f t="shared" si="17"/>
        <v/>
      </c>
      <c r="M113" s="10" t="str">
        <f t="shared" si="18"/>
        <v/>
      </c>
      <c r="N113" s="4">
        <f t="shared" si="15"/>
        <v>9980817.5327855591</v>
      </c>
      <c r="O113" s="5">
        <f t="shared" si="19"/>
        <v>0.40229885057471548</v>
      </c>
      <c r="P113" t="s">
        <v>161</v>
      </c>
      <c r="Q113" s="77">
        <f>Q114/N93</f>
        <v>1.1099634214909295</v>
      </c>
      <c r="S113">
        <f t="shared" si="16"/>
        <v>-2.4399999999999977</v>
      </c>
    </row>
    <row r="114" spans="1:19" x14ac:dyDescent="0.15">
      <c r="A114" s="60">
        <v>95</v>
      </c>
      <c r="B114" s="60" t="s">
        <v>120</v>
      </c>
      <c r="C114" s="3">
        <f t="shared" si="14"/>
        <v>28.680510151682491</v>
      </c>
      <c r="D114" s="51">
        <v>42366</v>
      </c>
      <c r="E114" s="60">
        <v>120.24</v>
      </c>
      <c r="F114" s="60">
        <v>121.98</v>
      </c>
      <c r="G114" s="51">
        <v>42023</v>
      </c>
      <c r="H114" s="60">
        <v>119.09</v>
      </c>
      <c r="I114" s="60" t="s">
        <v>122</v>
      </c>
      <c r="J114" s="8">
        <f t="shared" si="20"/>
        <v>114.99999999999915</v>
      </c>
      <c r="K114" s="8">
        <f t="shared" si="21"/>
        <v>329825.86674434622</v>
      </c>
      <c r="L114" s="9" t="str">
        <f t="shared" si="17"/>
        <v/>
      </c>
      <c r="M114" s="10" t="str">
        <f t="shared" si="18"/>
        <v/>
      </c>
      <c r="N114" s="4">
        <f t="shared" si="15"/>
        <v>10310643.399529906</v>
      </c>
      <c r="O114" s="5">
        <f t="shared" si="19"/>
        <v>0.66091954022987676</v>
      </c>
      <c r="P114" t="s">
        <v>160</v>
      </c>
      <c r="Q114" s="71">
        <f>N114-N93</f>
        <v>5423997.8328289147</v>
      </c>
      <c r="S114">
        <f t="shared" si="16"/>
        <v>2.8900000000000006</v>
      </c>
    </row>
    <row r="115" spans="1:19" x14ac:dyDescent="0.15">
      <c r="A115" s="60"/>
      <c r="C115" s="3"/>
      <c r="D115" s="59" t="s">
        <v>164</v>
      </c>
      <c r="E115" s="60"/>
      <c r="F115" s="60"/>
      <c r="H115" s="60"/>
      <c r="I115" s="60"/>
      <c r="J115" s="8"/>
      <c r="K115" s="8"/>
      <c r="L115" s="9"/>
      <c r="M115" s="10"/>
      <c r="N115" s="4"/>
      <c r="O115" s="5"/>
      <c r="P115" s="12"/>
    </row>
    <row r="116" spans="1:19" x14ac:dyDescent="0.15">
      <c r="A116" s="60">
        <v>96</v>
      </c>
      <c r="B116" s="60" t="s">
        <v>165</v>
      </c>
      <c r="C116" s="3">
        <f>IFERROR(ABS(N114*$L$2/(E116-F116)/10000),"")</f>
        <v>67.833180260064722</v>
      </c>
      <c r="D116" s="51">
        <v>42041</v>
      </c>
      <c r="E116" s="60">
        <v>121.22</v>
      </c>
      <c r="F116" s="60">
        <v>120.46</v>
      </c>
      <c r="G116" s="51">
        <v>42069</v>
      </c>
      <c r="H116" s="60">
        <v>126.66</v>
      </c>
      <c r="I116" s="60" t="s">
        <v>122</v>
      </c>
      <c r="J116" s="8">
        <f t="shared" si="20"/>
        <v>543.99999999999977</v>
      </c>
      <c r="K116" s="8">
        <f t="shared" si="21"/>
        <v>3690125.0061475192</v>
      </c>
      <c r="L116" s="9" t="str">
        <f t="shared" si="17"/>
        <v/>
      </c>
      <c r="M116" s="10" t="str">
        <f t="shared" si="18"/>
        <v/>
      </c>
      <c r="N116" s="4">
        <f>IF(I116="ー",N114+0,IF(M116&lt;1,M116+N114,K116+N114))</f>
        <v>14000768.405677425</v>
      </c>
      <c r="O116" s="5">
        <f t="shared" si="19"/>
        <v>7.1578947368420538</v>
      </c>
      <c r="P116" s="12"/>
      <c r="S116">
        <f t="shared" si="16"/>
        <v>-6.2000000000000028</v>
      </c>
    </row>
    <row r="117" spans="1:19" x14ac:dyDescent="0.15">
      <c r="A117" s="60">
        <v>97</v>
      </c>
      <c r="B117" s="60" t="s">
        <v>165</v>
      </c>
      <c r="C117" s="3">
        <f t="shared" si="14"/>
        <v>32.712075714199365</v>
      </c>
      <c r="D117" s="51">
        <v>42076</v>
      </c>
      <c r="E117" s="60">
        <v>130.37</v>
      </c>
      <c r="F117" s="60">
        <v>128.22999999999999</v>
      </c>
      <c r="G117" s="51">
        <v>42085</v>
      </c>
      <c r="H117" s="60">
        <v>131.43</v>
      </c>
      <c r="I117" s="60" t="s">
        <v>122</v>
      </c>
      <c r="J117" s="8">
        <f t="shared" si="20"/>
        <v>106.00000000000023</v>
      </c>
      <c r="K117" s="8">
        <f t="shared" si="21"/>
        <v>346748.00257051404</v>
      </c>
      <c r="L117" s="9" t="str">
        <f t="shared" si="17"/>
        <v/>
      </c>
      <c r="M117" s="10" t="str">
        <f t="shared" si="18"/>
        <v/>
      </c>
      <c r="N117" s="4">
        <f t="shared" si="15"/>
        <v>14347516.408247938</v>
      </c>
      <c r="O117" s="5">
        <f t="shared" si="19"/>
        <v>0.49532710280373599</v>
      </c>
      <c r="P117" s="12"/>
      <c r="S117">
        <f t="shared" si="16"/>
        <v>-3.2000000000000171</v>
      </c>
    </row>
    <row r="118" spans="1:19" x14ac:dyDescent="0.15">
      <c r="A118" s="60">
        <v>98</v>
      </c>
      <c r="B118" s="60" t="s">
        <v>119</v>
      </c>
      <c r="C118" s="3">
        <f t="shared" si="14"/>
        <v>36.78850361089237</v>
      </c>
      <c r="D118" s="51">
        <v>42093</v>
      </c>
      <c r="E118" s="60">
        <v>132.56</v>
      </c>
      <c r="F118" s="60">
        <v>130.61000000000001</v>
      </c>
      <c r="G118" s="51">
        <v>42098</v>
      </c>
      <c r="H118" s="60">
        <v>130.61000000000001</v>
      </c>
      <c r="I118" s="60" t="s">
        <v>123</v>
      </c>
      <c r="J118" s="8" t="str">
        <f t="shared" si="20"/>
        <v/>
      </c>
      <c r="K118" s="8" t="str">
        <f t="shared" si="21"/>
        <v/>
      </c>
      <c r="L118" s="9">
        <f t="shared" si="17"/>
        <v>-194.99999999999886</v>
      </c>
      <c r="M118" s="10">
        <f t="shared" si="18"/>
        <v>-717375.82041239704</v>
      </c>
      <c r="N118" s="4">
        <f t="shared" si="15"/>
        <v>13630140.587835541</v>
      </c>
      <c r="O118" s="5"/>
      <c r="P118" s="12"/>
      <c r="S118">
        <f t="shared" si="16"/>
        <v>0</v>
      </c>
    </row>
    <row r="119" spans="1:19" x14ac:dyDescent="0.15">
      <c r="A119" s="60">
        <v>99</v>
      </c>
      <c r="B119" s="60" t="s">
        <v>120</v>
      </c>
      <c r="C119" s="3">
        <f t="shared" si="14"/>
        <v>62.523580678144491</v>
      </c>
      <c r="D119" s="51">
        <v>42120</v>
      </c>
      <c r="E119" s="60">
        <v>130.47999999999999</v>
      </c>
      <c r="F119" s="60">
        <v>131.57</v>
      </c>
      <c r="G119" s="51">
        <v>42121</v>
      </c>
      <c r="H119" s="60">
        <v>131.57</v>
      </c>
      <c r="I119" s="60" t="s">
        <v>123</v>
      </c>
      <c r="J119" s="8" t="str">
        <f t="shared" si="20"/>
        <v/>
      </c>
      <c r="K119" s="8" t="str">
        <f t="shared" si="21"/>
        <v/>
      </c>
      <c r="L119" s="9">
        <f t="shared" si="17"/>
        <v>-109.00000000000034</v>
      </c>
      <c r="M119" s="10">
        <f t="shared" si="18"/>
        <v>-681507.02939177712</v>
      </c>
      <c r="N119" s="4">
        <f t="shared" si="15"/>
        <v>12948633.558443764</v>
      </c>
      <c r="O119" s="5"/>
      <c r="P119" s="12"/>
      <c r="S119">
        <f t="shared" si="16"/>
        <v>0</v>
      </c>
    </row>
    <row r="120" spans="1:19" x14ac:dyDescent="0.15">
      <c r="A120" s="60">
        <v>100</v>
      </c>
      <c r="B120" s="60" t="s">
        <v>120</v>
      </c>
      <c r="C120" s="3">
        <f>IFERROR(ABS(N119*$L$2/(E120-F120)/10000),"")</f>
        <v>50.188502164511036</v>
      </c>
      <c r="D120" s="51">
        <v>42124</v>
      </c>
      <c r="E120" s="60">
        <v>129.35</v>
      </c>
      <c r="F120" s="60">
        <v>130.63999999999999</v>
      </c>
      <c r="G120" s="51">
        <v>42172</v>
      </c>
      <c r="H120" s="60">
        <v>124.35</v>
      </c>
      <c r="I120" s="60" t="s">
        <v>122</v>
      </c>
      <c r="J120" s="8">
        <f t="shared" si="20"/>
        <v>500</v>
      </c>
      <c r="K120" s="8">
        <f t="shared" si="21"/>
        <v>2509425.1082255519</v>
      </c>
      <c r="L120" s="9" t="str">
        <f t="shared" si="17"/>
        <v/>
      </c>
      <c r="M120" s="10" t="str">
        <f t="shared" si="18"/>
        <v/>
      </c>
      <c r="N120" s="4">
        <f t="shared" si="15"/>
        <v>15458058.666669317</v>
      </c>
      <c r="O120" s="5">
        <f t="shared" si="19"/>
        <v>3.8759689922480858</v>
      </c>
      <c r="P120" s="12"/>
      <c r="S120">
        <f t="shared" si="16"/>
        <v>6.289999999999992</v>
      </c>
    </row>
    <row r="121" spans="1:19" x14ac:dyDescent="0.15">
      <c r="A121" s="60">
        <v>101</v>
      </c>
      <c r="B121" s="60" t="s">
        <v>120</v>
      </c>
      <c r="C121" s="3">
        <f>IFERROR(ABS(N119*$L$2/(E121-F121)/10000),"")</f>
        <v>91.187560270729719</v>
      </c>
      <c r="D121" s="51">
        <v>42139</v>
      </c>
      <c r="E121" s="60">
        <v>128.03</v>
      </c>
      <c r="F121" s="60">
        <v>128.74</v>
      </c>
      <c r="G121" s="51">
        <v>42172</v>
      </c>
      <c r="H121" s="60">
        <v>124.35</v>
      </c>
      <c r="I121" s="60" t="s">
        <v>122</v>
      </c>
      <c r="J121" s="8">
        <f t="shared" si="20"/>
        <v>368.00000000000068</v>
      </c>
      <c r="K121" s="8">
        <f t="shared" si="21"/>
        <v>3355702.2179628597</v>
      </c>
      <c r="L121" s="9" t="str">
        <f t="shared" si="17"/>
        <v/>
      </c>
      <c r="M121" s="10" t="str">
        <f t="shared" si="18"/>
        <v/>
      </c>
      <c r="N121" s="4">
        <f t="shared" si="15"/>
        <v>18813760.884632178</v>
      </c>
      <c r="O121" s="5">
        <f t="shared" si="19"/>
        <v>5.1830985915492471</v>
      </c>
      <c r="P121" s="12"/>
      <c r="S121">
        <f t="shared" si="16"/>
        <v>4.3900000000000148</v>
      </c>
    </row>
    <row r="122" spans="1:19" x14ac:dyDescent="0.15">
      <c r="A122" s="60">
        <v>102</v>
      </c>
      <c r="B122" s="60" t="s">
        <v>119</v>
      </c>
      <c r="C122" s="3">
        <f t="shared" si="14"/>
        <v>71.808247651268516</v>
      </c>
      <c r="D122" s="58">
        <v>42174</v>
      </c>
      <c r="E122" s="60">
        <v>124.46</v>
      </c>
      <c r="F122" s="60">
        <v>123.15</v>
      </c>
      <c r="G122" s="51">
        <v>42183</v>
      </c>
      <c r="H122" s="60">
        <v>123.15</v>
      </c>
      <c r="I122" s="60" t="s">
        <v>123</v>
      </c>
      <c r="J122" s="8" t="str">
        <f t="shared" si="20"/>
        <v/>
      </c>
      <c r="K122" s="8" t="str">
        <f t="shared" si="21"/>
        <v/>
      </c>
      <c r="L122" s="9">
        <f t="shared" si="17"/>
        <v>-130.99999999999881</v>
      </c>
      <c r="M122" s="10">
        <f t="shared" si="18"/>
        <v>-940688.04423160886</v>
      </c>
      <c r="N122" s="4">
        <f t="shared" si="15"/>
        <v>17873072.840400569</v>
      </c>
      <c r="O122" s="5"/>
      <c r="P122" s="12"/>
      <c r="S122">
        <f t="shared" si="16"/>
        <v>0</v>
      </c>
    </row>
    <row r="123" spans="1:19" x14ac:dyDescent="0.15">
      <c r="A123" s="60">
        <v>103</v>
      </c>
      <c r="B123" s="60" t="s">
        <v>119</v>
      </c>
      <c r="C123" s="3">
        <f t="shared" si="14"/>
        <v>34.637738062791826</v>
      </c>
      <c r="D123" s="51">
        <v>42184</v>
      </c>
      <c r="E123" s="60">
        <v>125.41</v>
      </c>
      <c r="F123" s="60">
        <v>122.83</v>
      </c>
      <c r="G123" s="51">
        <v>42195</v>
      </c>
      <c r="H123" s="60">
        <v>122.83</v>
      </c>
      <c r="I123" s="60" t="s">
        <v>123</v>
      </c>
      <c r="J123" s="8" t="str">
        <f t="shared" si="20"/>
        <v/>
      </c>
      <c r="K123" s="8" t="str">
        <f t="shared" si="21"/>
        <v/>
      </c>
      <c r="L123" s="9">
        <f t="shared" si="17"/>
        <v>-257.99999999999983</v>
      </c>
      <c r="M123" s="10">
        <f t="shared" si="18"/>
        <v>-893653.64202002855</v>
      </c>
      <c r="N123" s="4">
        <f t="shared" si="15"/>
        <v>16979419.198380541</v>
      </c>
      <c r="O123" s="5"/>
      <c r="P123" s="12"/>
      <c r="S123">
        <f t="shared" si="16"/>
        <v>0</v>
      </c>
    </row>
    <row r="124" spans="1:19" x14ac:dyDescent="0.15">
      <c r="A124" s="60">
        <v>104</v>
      </c>
      <c r="B124" s="60" t="s">
        <v>120</v>
      </c>
      <c r="C124" s="3">
        <f t="shared" si="14"/>
        <v>65.305458455309207</v>
      </c>
      <c r="D124" s="51">
        <v>42205</v>
      </c>
      <c r="E124" s="60">
        <v>122.46</v>
      </c>
      <c r="F124" s="60">
        <v>123.76</v>
      </c>
      <c r="G124" s="51">
        <v>42212</v>
      </c>
      <c r="H124" s="60">
        <v>123.76</v>
      </c>
      <c r="I124" s="60" t="s">
        <v>123</v>
      </c>
      <c r="J124" s="8" t="str">
        <f t="shared" si="20"/>
        <v/>
      </c>
      <c r="K124" s="8" t="str">
        <f t="shared" si="21"/>
        <v/>
      </c>
      <c r="L124" s="9">
        <f t="shared" si="17"/>
        <v>-130.00000000000114</v>
      </c>
      <c r="M124" s="10">
        <f t="shared" si="18"/>
        <v>-848970.95991902717</v>
      </c>
      <c r="N124" s="4">
        <f t="shared" si="15"/>
        <v>16130448.238461513</v>
      </c>
      <c r="O124" s="5"/>
      <c r="P124" s="12"/>
      <c r="R124" s="79">
        <f>SUM(M122:M124)/N121</f>
        <v>-0.142625</v>
      </c>
      <c r="S124">
        <f t="shared" si="16"/>
        <v>0</v>
      </c>
    </row>
    <row r="125" spans="1:19" x14ac:dyDescent="0.15">
      <c r="A125" s="60">
        <v>105</v>
      </c>
      <c r="B125" s="60" t="s">
        <v>119</v>
      </c>
      <c r="C125" s="3">
        <f>IFERROR(ABS(N124*$L$2/(E125-F125)/10000),"")</f>
        <v>40.733455147630004</v>
      </c>
      <c r="D125" s="51">
        <v>42219</v>
      </c>
      <c r="E125" s="60">
        <v>123.03</v>
      </c>
      <c r="F125" s="60">
        <v>121.05</v>
      </c>
      <c r="G125" s="51">
        <v>42027</v>
      </c>
      <c r="H125" s="60">
        <v>139.36000000000001</v>
      </c>
      <c r="I125" s="60" t="s">
        <v>122</v>
      </c>
      <c r="J125" s="8">
        <f t="shared" si="20"/>
        <v>1633.0000000000014</v>
      </c>
      <c r="K125" s="8">
        <f t="shared" si="21"/>
        <v>6651773.2256079847</v>
      </c>
      <c r="L125" s="9" t="str">
        <f t="shared" si="17"/>
        <v/>
      </c>
      <c r="M125" s="10" t="str">
        <f t="shared" si="18"/>
        <v/>
      </c>
      <c r="N125" s="4">
        <f t="shared" si="15"/>
        <v>22782221.464069497</v>
      </c>
      <c r="O125" s="5">
        <f t="shared" si="19"/>
        <v>8.2474747474747367</v>
      </c>
      <c r="P125" s="12"/>
      <c r="S125">
        <f t="shared" si="16"/>
        <v>-18.310000000000016</v>
      </c>
    </row>
    <row r="126" spans="1:19" x14ac:dyDescent="0.15">
      <c r="A126" s="60">
        <v>106</v>
      </c>
      <c r="B126" s="60" t="s">
        <v>119</v>
      </c>
      <c r="C126" s="3">
        <f>IFERROR(ABS(N125*$L$2/(E126-F126)/10000),"")</f>
        <v>158.20987127826066</v>
      </c>
      <c r="D126" s="51">
        <v>42259</v>
      </c>
      <c r="E126" s="60">
        <v>125.6</v>
      </c>
      <c r="F126" s="60">
        <v>124.88</v>
      </c>
      <c r="G126" s="51">
        <v>42288</v>
      </c>
      <c r="H126" s="60">
        <v>124.88</v>
      </c>
      <c r="I126" s="60" t="s">
        <v>123</v>
      </c>
      <c r="J126" s="8" t="str">
        <f t="shared" si="20"/>
        <v/>
      </c>
      <c r="K126" s="8" t="str">
        <f t="shared" si="21"/>
        <v/>
      </c>
      <c r="L126" s="9">
        <f t="shared" si="17"/>
        <v>-71.999999999999886</v>
      </c>
      <c r="M126" s="10">
        <f t="shared" si="18"/>
        <v>-1139111.073203475</v>
      </c>
      <c r="N126" s="4">
        <f>IF(I126="ー",N125+0,IF(M126&lt;1,M126+N125,K126+N125))</f>
        <v>21643110.390866023</v>
      </c>
      <c r="O126" s="5"/>
      <c r="P126" t="s">
        <v>168</v>
      </c>
      <c r="Q126" s="11">
        <f>AVERAGE(O116:O129)</f>
        <v>6.0697799747274033</v>
      </c>
      <c r="S126">
        <f t="shared" si="16"/>
        <v>0</v>
      </c>
    </row>
    <row r="127" spans="1:19" x14ac:dyDescent="0.15">
      <c r="A127" s="60">
        <v>107</v>
      </c>
      <c r="B127" s="60" t="s">
        <v>119</v>
      </c>
      <c r="C127" s="3">
        <f>IFERROR(ABS(N124*$L$2/(E127-F127)/10000),"")</f>
        <v>58.443653037904227</v>
      </c>
      <c r="D127" s="51">
        <v>42288</v>
      </c>
      <c r="E127" s="60">
        <v>126.1</v>
      </c>
      <c r="F127" s="60">
        <v>124.72</v>
      </c>
      <c r="G127" s="51">
        <v>42027</v>
      </c>
      <c r="H127" s="60">
        <v>139.36000000000001</v>
      </c>
      <c r="I127" s="60" t="s">
        <v>122</v>
      </c>
      <c r="J127" s="8">
        <f t="shared" si="20"/>
        <v>1326.0000000000018</v>
      </c>
      <c r="K127" s="8">
        <f t="shared" si="21"/>
        <v>7749628.3928261111</v>
      </c>
      <c r="L127" s="9" t="str">
        <f>IFERROR(IF(AND(B127="売",I127="負"),(E127-H127),IF(AND(B127="買",I127="負"),(H127-E127),""))*100,"")</f>
        <v/>
      </c>
      <c r="M127" s="10" t="str">
        <f t="shared" si="18"/>
        <v/>
      </c>
      <c r="N127" s="4">
        <f>IF(I127="ー",N126+0,IF(M127&lt;1,M127+N126,K127+N126))</f>
        <v>29392738.783692133</v>
      </c>
      <c r="O127" s="5">
        <f t="shared" si="19"/>
        <v>9.6086956521739584</v>
      </c>
      <c r="P127" t="s">
        <v>166</v>
      </c>
      <c r="Q127" s="77">
        <f>COUNTIF(K116:K129,"&gt;0")/COUNTIF(N116:N129,"&gt;0")</f>
        <v>0.5</v>
      </c>
      <c r="S127">
        <f t="shared" si="16"/>
        <v>-14.640000000000015</v>
      </c>
    </row>
    <row r="128" spans="1:19" x14ac:dyDescent="0.15">
      <c r="A128" s="60">
        <v>108</v>
      </c>
      <c r="B128" s="60" t="s">
        <v>119</v>
      </c>
      <c r="C128" s="3">
        <f>IFERROR(ABS(N124*$L$2/(E128-F128)/10000),"")</f>
        <v>54.494757562369827</v>
      </c>
      <c r="D128" s="51">
        <v>42299</v>
      </c>
      <c r="E128" s="60">
        <v>128.15</v>
      </c>
      <c r="F128" s="60">
        <v>126.67</v>
      </c>
      <c r="G128" s="51">
        <v>42316</v>
      </c>
      <c r="H128" s="60">
        <v>126.67</v>
      </c>
      <c r="I128" s="60" t="s">
        <v>123</v>
      </c>
      <c r="J128" s="8" t="str">
        <f t="shared" si="20"/>
        <v/>
      </c>
      <c r="K128" s="8" t="str">
        <f t="shared" si="21"/>
        <v/>
      </c>
      <c r="L128" s="9">
        <f t="shared" si="17"/>
        <v>-148.0000000000004</v>
      </c>
      <c r="M128" s="10">
        <f t="shared" si="18"/>
        <v>-806522.41192307568</v>
      </c>
      <c r="N128" s="4">
        <f t="shared" si="15"/>
        <v>28586216.371769056</v>
      </c>
      <c r="O128" s="5"/>
      <c r="P128" t="s">
        <v>161</v>
      </c>
      <c r="Q128" s="77">
        <f>Q129/N114</f>
        <v>2.3920166297085195</v>
      </c>
      <c r="S128">
        <f t="shared" si="16"/>
        <v>0</v>
      </c>
    </row>
    <row r="129" spans="1:19" x14ac:dyDescent="0.15">
      <c r="A129" s="60">
        <v>109</v>
      </c>
      <c r="B129" s="60" t="s">
        <v>119</v>
      </c>
      <c r="C129" s="3">
        <f>IFERROR(ABS(N124*$L$2/(E129-F129)/10000),"")</f>
        <v>53.768160794871704</v>
      </c>
      <c r="D129" s="51">
        <v>42322</v>
      </c>
      <c r="E129" s="60">
        <v>127.48</v>
      </c>
      <c r="F129" s="60">
        <v>125.98</v>
      </c>
      <c r="G129" s="51">
        <v>42027</v>
      </c>
      <c r="H129" s="60">
        <v>139.36000000000001</v>
      </c>
      <c r="I129" s="60" t="s">
        <v>122</v>
      </c>
      <c r="J129" s="8">
        <f t="shared" si="20"/>
        <v>1188.0000000000009</v>
      </c>
      <c r="K129" s="8">
        <f t="shared" si="21"/>
        <v>6387657.5024307631</v>
      </c>
      <c r="L129" s="9" t="str">
        <f t="shared" si="17"/>
        <v/>
      </c>
      <c r="M129" s="10" t="str">
        <f t="shared" si="18"/>
        <v/>
      </c>
      <c r="N129" s="4">
        <f t="shared" si="15"/>
        <v>34973873.874199823</v>
      </c>
      <c r="O129" s="5">
        <f t="shared" si="19"/>
        <v>7.9200000000000061</v>
      </c>
      <c r="P129" t="s">
        <v>160</v>
      </c>
      <c r="Q129" s="71">
        <f>N129-N114</f>
        <v>24663230.474669918</v>
      </c>
      <c r="S129">
        <f t="shared" si="16"/>
        <v>-13.38000000000001</v>
      </c>
    </row>
    <row r="130" spans="1:19" x14ac:dyDescent="0.15">
      <c r="A130" s="60"/>
      <c r="C130" s="3"/>
      <c r="D130" s="59" t="s">
        <v>167</v>
      </c>
      <c r="E130" s="60"/>
      <c r="F130" s="60"/>
      <c r="H130" s="60"/>
      <c r="I130" s="60"/>
      <c r="J130" s="8"/>
      <c r="K130" s="8"/>
      <c r="L130" s="9"/>
      <c r="M130" s="10"/>
      <c r="N130" s="4"/>
      <c r="O130" s="5"/>
      <c r="P130" s="12"/>
    </row>
    <row r="131" spans="1:19" x14ac:dyDescent="0.15">
      <c r="A131" s="60">
        <v>110</v>
      </c>
      <c r="B131" s="60" t="s">
        <v>120</v>
      </c>
      <c r="C131" s="3">
        <f>IFERROR(ABS(N129*$L$2/(E131-F131)/10000),"")</f>
        <v>70.797315534817486</v>
      </c>
      <c r="D131" s="51">
        <v>42047</v>
      </c>
      <c r="E131" s="60">
        <v>145.25</v>
      </c>
      <c r="F131" s="60">
        <v>147.72</v>
      </c>
      <c r="G131" s="51">
        <v>42071</v>
      </c>
      <c r="H131" s="60">
        <v>143</v>
      </c>
      <c r="I131" s="60" t="s">
        <v>122</v>
      </c>
      <c r="J131" s="8">
        <f t="shared" si="20"/>
        <v>225</v>
      </c>
      <c r="K131" s="8">
        <f t="shared" si="21"/>
        <v>1592939.5995333935</v>
      </c>
      <c r="L131" s="9" t="str">
        <f t="shared" si="17"/>
        <v/>
      </c>
      <c r="M131" s="10" t="str">
        <f t="shared" si="18"/>
        <v/>
      </c>
      <c r="N131" s="4">
        <f>IF(I131="ー",N129+0,IF(M131&lt;1,M131+N129,K131+N129))</f>
        <v>36566813.473733217</v>
      </c>
      <c r="O131" s="5">
        <f t="shared" si="19"/>
        <v>0.91093117408906921</v>
      </c>
      <c r="P131" s="12"/>
      <c r="S131">
        <f t="shared" si="16"/>
        <v>4.7199999999999989</v>
      </c>
    </row>
    <row r="132" spans="1:19" x14ac:dyDescent="0.15">
      <c r="A132" s="60">
        <v>111</v>
      </c>
      <c r="B132" s="60" t="s">
        <v>120</v>
      </c>
      <c r="C132" s="3">
        <f t="shared" si="14"/>
        <v>63.927995583450013</v>
      </c>
      <c r="D132" s="51">
        <v>42088</v>
      </c>
      <c r="E132" s="60">
        <v>141.87</v>
      </c>
      <c r="F132" s="60">
        <v>144.72999999999999</v>
      </c>
      <c r="G132" s="51">
        <v>42098</v>
      </c>
      <c r="H132" s="60">
        <v>143.77000000000001</v>
      </c>
      <c r="I132" s="60" t="s">
        <v>123</v>
      </c>
      <c r="J132" s="8" t="str">
        <f t="shared" si="20"/>
        <v/>
      </c>
      <c r="K132" s="8" t="str">
        <f t="shared" si="21"/>
        <v/>
      </c>
      <c r="L132" s="9">
        <f t="shared" si="17"/>
        <v>-190.00000000000057</v>
      </c>
      <c r="M132" s="10">
        <f t="shared" si="18"/>
        <v>-1214631.9160855538</v>
      </c>
      <c r="N132" s="4">
        <f t="shared" si="15"/>
        <v>35352181.55764766</v>
      </c>
      <c r="O132" s="5"/>
      <c r="P132" s="12"/>
      <c r="S132">
        <f t="shared" si="16"/>
        <v>0.95999999999997954</v>
      </c>
    </row>
    <row r="133" spans="1:19" x14ac:dyDescent="0.15">
      <c r="A133" s="60">
        <v>112</v>
      </c>
      <c r="B133" s="60" t="s">
        <v>119</v>
      </c>
      <c r="C133" s="3">
        <f t="shared" si="14"/>
        <v>27.277917868555214</v>
      </c>
      <c r="D133" s="51">
        <v>42098</v>
      </c>
      <c r="E133" s="60">
        <v>146.83000000000001</v>
      </c>
      <c r="F133" s="60">
        <v>140.35</v>
      </c>
      <c r="G133" s="51">
        <v>42147</v>
      </c>
      <c r="H133" s="60">
        <v>152.71</v>
      </c>
      <c r="I133" s="60" t="s">
        <v>122</v>
      </c>
      <c r="J133" s="8">
        <f t="shared" si="20"/>
        <v>587.99999999999955</v>
      </c>
      <c r="K133" s="8">
        <f t="shared" si="21"/>
        <v>1603941.5706710452</v>
      </c>
      <c r="L133" s="9" t="str">
        <f t="shared" si="17"/>
        <v/>
      </c>
      <c r="M133" s="10" t="str">
        <f t="shared" si="18"/>
        <v/>
      </c>
      <c r="N133" s="4">
        <f t="shared" si="15"/>
        <v>36956123.128318705</v>
      </c>
      <c r="O133" s="5">
        <f t="shared" si="19"/>
        <v>0.90740740740740411</v>
      </c>
      <c r="P133" s="12"/>
      <c r="S133">
        <f t="shared" si="16"/>
        <v>-12.360000000000014</v>
      </c>
    </row>
    <row r="134" spans="1:19" x14ac:dyDescent="0.15">
      <c r="A134" s="60">
        <v>113</v>
      </c>
      <c r="B134" s="60" t="s">
        <v>119</v>
      </c>
      <c r="C134" s="3">
        <f>IFERROR(ABS(N132*$L$2/(E134-F134)/10000),"")</f>
        <v>101.00623302185045</v>
      </c>
      <c r="D134" s="51">
        <v>42112</v>
      </c>
      <c r="E134" s="60">
        <v>150.44999999999999</v>
      </c>
      <c r="F134" s="60">
        <v>148.69999999999999</v>
      </c>
      <c r="G134" s="51">
        <v>42147</v>
      </c>
      <c r="H134" s="60">
        <v>152.71</v>
      </c>
      <c r="I134" s="60" t="s">
        <v>122</v>
      </c>
      <c r="J134" s="8">
        <f>IFERROR(IF(AND(B134="売",I134="勝"),ABS(E134-H134),IF(AND(B134="買",I134="勝"),ABS(E134-H134),""))*100,"")</f>
        <v>226.00000000000193</v>
      </c>
      <c r="K134" s="8">
        <f t="shared" si="21"/>
        <v>2282740.8662938396</v>
      </c>
      <c r="L134" s="9" t="str">
        <f t="shared" si="17"/>
        <v/>
      </c>
      <c r="M134" s="10" t="str">
        <f t="shared" si="18"/>
        <v/>
      </c>
      <c r="N134" s="4">
        <f t="shared" si="15"/>
        <v>39238863.994612545</v>
      </c>
      <c r="O134" s="5">
        <f t="shared" si="19"/>
        <v>1.2914285714285825</v>
      </c>
      <c r="P134" s="12"/>
      <c r="S134">
        <f t="shared" si="16"/>
        <v>-4.0100000000000193</v>
      </c>
    </row>
    <row r="135" spans="1:19" x14ac:dyDescent="0.15">
      <c r="A135" s="60">
        <v>114</v>
      </c>
      <c r="B135" s="60" t="s">
        <v>120</v>
      </c>
      <c r="C135" s="3">
        <f t="shared" si="14"/>
        <v>107.79907690827663</v>
      </c>
      <c r="D135" s="51">
        <v>42155</v>
      </c>
      <c r="E135" s="60">
        <v>152.36000000000001</v>
      </c>
      <c r="F135" s="60">
        <v>154.18</v>
      </c>
      <c r="G135" s="51">
        <v>42165</v>
      </c>
      <c r="H135" s="60">
        <v>153.77000000000001</v>
      </c>
      <c r="I135" s="60" t="s">
        <v>123</v>
      </c>
      <c r="J135" s="8" t="str">
        <f t="shared" ref="J135:J165" si="22">IFERROR(IF(AND(B135="売",I135="勝"),ABS(E135-H135),IF(AND(B135="買",I135="勝"),ABS(E135-H135),""))*100,"")</f>
        <v/>
      </c>
      <c r="K135" s="8" t="str">
        <f t="shared" si="21"/>
        <v/>
      </c>
      <c r="L135" s="9">
        <f t="shared" si="17"/>
        <v>-140.99999999999966</v>
      </c>
      <c r="M135" s="10">
        <f t="shared" si="18"/>
        <v>-1519966.9844066969</v>
      </c>
      <c r="N135" s="4">
        <f t="shared" si="15"/>
        <v>37718897.01020585</v>
      </c>
      <c r="O135" s="5"/>
      <c r="P135" s="12"/>
      <c r="S135">
        <f t="shared" si="16"/>
        <v>0.40999999999999659</v>
      </c>
    </row>
    <row r="136" spans="1:19" x14ac:dyDescent="0.15">
      <c r="A136" s="60">
        <v>115</v>
      </c>
      <c r="B136" s="60" t="s">
        <v>120</v>
      </c>
      <c r="C136" s="3">
        <f t="shared" si="14"/>
        <v>40.733150119012841</v>
      </c>
      <c r="D136" s="51">
        <v>42167</v>
      </c>
      <c r="E136" s="60">
        <v>149.32</v>
      </c>
      <c r="F136" s="60">
        <v>153.94999999999999</v>
      </c>
      <c r="G136" s="51">
        <v>42186</v>
      </c>
      <c r="H136" s="60">
        <v>151.97999999999999</v>
      </c>
      <c r="I136" s="60" t="s">
        <v>123</v>
      </c>
      <c r="J136" s="8" t="str">
        <f t="shared" si="22"/>
        <v/>
      </c>
      <c r="K136" s="8" t="str">
        <f t="shared" si="21"/>
        <v/>
      </c>
      <c r="L136" s="9">
        <f t="shared" si="17"/>
        <v>-265.99999999999966</v>
      </c>
      <c r="M136" s="10">
        <f t="shared" si="18"/>
        <v>-1083501.7931657401</v>
      </c>
      <c r="N136" s="4">
        <f t="shared" si="15"/>
        <v>36635395.217040107</v>
      </c>
      <c r="O136" s="5"/>
      <c r="P136" s="12"/>
      <c r="S136">
        <f t="shared" si="16"/>
        <v>1.9699999999999989</v>
      </c>
    </row>
    <row r="137" spans="1:19" x14ac:dyDescent="0.15">
      <c r="A137" s="60">
        <v>116</v>
      </c>
      <c r="B137" s="60" t="s">
        <v>119</v>
      </c>
      <c r="C137" s="3">
        <f t="shared" si="14"/>
        <v>115.9347949906344</v>
      </c>
      <c r="D137" s="51">
        <v>42200</v>
      </c>
      <c r="E137" s="60">
        <v>151.22999999999999</v>
      </c>
      <c r="F137" s="60">
        <v>149.65</v>
      </c>
      <c r="G137" s="51">
        <v>42210</v>
      </c>
      <c r="H137" s="60">
        <v>152.02000000000001</v>
      </c>
      <c r="I137" s="60" t="s">
        <v>122</v>
      </c>
      <c r="J137" s="8">
        <f t="shared" si="22"/>
        <v>79.000000000002046</v>
      </c>
      <c r="K137" s="8">
        <f t="shared" si="21"/>
        <v>915884.8804260355</v>
      </c>
      <c r="L137" s="9" t="str">
        <f t="shared" si="17"/>
        <v/>
      </c>
      <c r="M137" s="10" t="str">
        <f t="shared" si="18"/>
        <v/>
      </c>
      <c r="N137" s="4">
        <f t="shared" si="15"/>
        <v>37551280.097466141</v>
      </c>
      <c r="O137" s="5">
        <f t="shared" si="19"/>
        <v>0.50000000000001799</v>
      </c>
      <c r="P137" s="12"/>
      <c r="R137" s="79">
        <f>SUM(M135:M136)/N134</f>
        <v>-6.6349239313602218E-2</v>
      </c>
      <c r="S137">
        <f t="shared" si="16"/>
        <v>-2.3700000000000045</v>
      </c>
    </row>
    <row r="138" spans="1:19" x14ac:dyDescent="0.15">
      <c r="A138" s="60">
        <v>117</v>
      </c>
      <c r="B138" s="60" t="s">
        <v>119</v>
      </c>
      <c r="C138" s="3">
        <f t="shared" si="14"/>
        <v>133.16056772151148</v>
      </c>
      <c r="D138" s="51">
        <v>42224</v>
      </c>
      <c r="E138" s="60">
        <v>150.31</v>
      </c>
      <c r="F138" s="60">
        <v>148.9</v>
      </c>
      <c r="G138" s="51">
        <v>42228</v>
      </c>
      <c r="H138" s="60">
        <v>148.9</v>
      </c>
      <c r="I138" s="60" t="s">
        <v>123</v>
      </c>
      <c r="J138" s="8" t="str">
        <f t="shared" si="22"/>
        <v/>
      </c>
      <c r="K138" s="8" t="str">
        <f t="shared" si="21"/>
        <v/>
      </c>
      <c r="L138" s="9">
        <f t="shared" si="17"/>
        <v>-140.99999999999966</v>
      </c>
      <c r="M138" s="10">
        <f t="shared" si="18"/>
        <v>-1877564.0048733072</v>
      </c>
      <c r="N138" s="4">
        <f>IF(I137="ー",N137+0,IF(M138&lt;1,M138+N137,K138+N137))</f>
        <v>35673716.092592835</v>
      </c>
      <c r="O138" s="5"/>
      <c r="P138" s="12"/>
      <c r="S138">
        <f t="shared" si="16"/>
        <v>0</v>
      </c>
    </row>
    <row r="139" spans="1:19" x14ac:dyDescent="0.15">
      <c r="A139" s="60">
        <v>118</v>
      </c>
      <c r="B139" s="60" t="s">
        <v>119</v>
      </c>
      <c r="C139" s="3">
        <f t="shared" si="14"/>
        <v>74.011859113263242</v>
      </c>
      <c r="D139" s="51">
        <v>42249</v>
      </c>
      <c r="E139" s="60">
        <v>154.91</v>
      </c>
      <c r="F139" s="60">
        <v>152.5</v>
      </c>
      <c r="G139" s="51">
        <v>42280</v>
      </c>
      <c r="H139" s="60">
        <v>156.68</v>
      </c>
      <c r="I139" s="60" t="s">
        <v>122</v>
      </c>
      <c r="J139" s="8">
        <f t="shared" si="22"/>
        <v>177.00000000000102</v>
      </c>
      <c r="K139" s="8">
        <f t="shared" si="21"/>
        <v>1310009.9063047669</v>
      </c>
      <c r="L139" s="9" t="str">
        <f t="shared" si="17"/>
        <v/>
      </c>
      <c r="M139" s="10" t="str">
        <f t="shared" si="18"/>
        <v/>
      </c>
      <c r="N139" s="4">
        <f>IF(I138="ー",N138+0,IF(M139&lt;1,M139+N138,K139+N138))</f>
        <v>36983725.998897605</v>
      </c>
      <c r="O139" s="5">
        <f t="shared" si="19"/>
        <v>0.73443983402490154</v>
      </c>
      <c r="P139" s="12"/>
      <c r="S139">
        <f t="shared" si="16"/>
        <v>-4.1800000000000068</v>
      </c>
    </row>
    <row r="140" spans="1:19" x14ac:dyDescent="0.15">
      <c r="A140" s="60">
        <v>119</v>
      </c>
      <c r="B140" s="60" t="s">
        <v>119</v>
      </c>
      <c r="C140" s="3">
        <f t="shared" si="14"/>
        <v>120.07703246395168</v>
      </c>
      <c r="D140" s="51">
        <v>42287</v>
      </c>
      <c r="E140" s="60">
        <v>156.99</v>
      </c>
      <c r="F140" s="60">
        <v>155.44999999999999</v>
      </c>
      <c r="G140" s="51">
        <v>42006</v>
      </c>
      <c r="H140" s="60">
        <v>172.82</v>
      </c>
      <c r="I140" s="60" t="s">
        <v>122</v>
      </c>
      <c r="J140" s="8">
        <f t="shared" si="22"/>
        <v>1582.9999999999984</v>
      </c>
      <c r="K140" s="8">
        <f t="shared" si="21"/>
        <v>19008194.23904353</v>
      </c>
      <c r="L140" s="9" t="str">
        <f t="shared" si="17"/>
        <v/>
      </c>
      <c r="M140" s="10" t="str">
        <f t="shared" si="18"/>
        <v/>
      </c>
      <c r="N140" s="4">
        <f>IF(I139="ー",N139+0,IF(M140&lt;1,M140+N139,K140+N139))</f>
        <v>55991920.237941131</v>
      </c>
      <c r="O140" s="5">
        <f t="shared" si="19"/>
        <v>10.279220779220632</v>
      </c>
      <c r="P140" s="12"/>
      <c r="S140">
        <f t="shared" si="16"/>
        <v>-17.370000000000005</v>
      </c>
    </row>
    <row r="141" spans="1:19" x14ac:dyDescent="0.15">
      <c r="A141" s="60">
        <v>120</v>
      </c>
      <c r="B141" s="60" t="s">
        <v>119</v>
      </c>
      <c r="C141" s="3">
        <f>IFERROR(ABS(N139*$L$2/(E141-F141)/10000),"")</f>
        <v>318.82522412843639</v>
      </c>
      <c r="D141" s="51">
        <v>42312</v>
      </c>
      <c r="E141" s="60">
        <v>157.66999999999999</v>
      </c>
      <c r="F141" s="60">
        <v>157.09</v>
      </c>
      <c r="G141" s="51">
        <v>42313</v>
      </c>
      <c r="H141" s="60">
        <v>157.09</v>
      </c>
      <c r="I141" s="60" t="s">
        <v>123</v>
      </c>
      <c r="J141" s="8" t="str">
        <f t="shared" si="22"/>
        <v/>
      </c>
      <c r="K141" s="8" t="str">
        <f t="shared" si="21"/>
        <v/>
      </c>
      <c r="L141" s="9">
        <f t="shared" si="17"/>
        <v>-57.999999999998408</v>
      </c>
      <c r="M141" s="10">
        <f t="shared" si="18"/>
        <v>-1849186.2999448804</v>
      </c>
      <c r="N141" s="4">
        <f>IF(I141="ー",N140+0,IF(M141&lt;1,M141+N140,K141+N140))</f>
        <v>54142733.937996253</v>
      </c>
      <c r="O141" s="5"/>
      <c r="P141" s="12"/>
      <c r="S141">
        <f t="shared" si="16"/>
        <v>0</v>
      </c>
    </row>
    <row r="142" spans="1:19" x14ac:dyDescent="0.15">
      <c r="A142" s="60">
        <v>121</v>
      </c>
      <c r="B142" s="60" t="s">
        <v>119</v>
      </c>
      <c r="C142" s="3">
        <f>IFERROR(ABS(N139*$L$2/(E142-F142)/10000),"")</f>
        <v>140.0898712079462</v>
      </c>
      <c r="D142" s="51">
        <v>42316</v>
      </c>
      <c r="E142" s="60">
        <v>158.85</v>
      </c>
      <c r="F142" s="60">
        <v>157.53</v>
      </c>
      <c r="G142" s="51">
        <v>42006</v>
      </c>
      <c r="H142" s="60">
        <v>172.82</v>
      </c>
      <c r="I142" s="60" t="s">
        <v>122</v>
      </c>
      <c r="J142" s="8">
        <f t="shared" si="22"/>
        <v>1397</v>
      </c>
      <c r="K142" s="8">
        <f t="shared" si="21"/>
        <v>19570555.007750083</v>
      </c>
      <c r="L142" s="9" t="str">
        <f t="shared" si="17"/>
        <v/>
      </c>
      <c r="M142" s="10" t="str">
        <f t="shared" si="18"/>
        <v/>
      </c>
      <c r="N142" s="4">
        <f>IF(I141="ー",N141+0,IF(M142&lt;1,M142+N141,K142+N141))</f>
        <v>73713288.945746332</v>
      </c>
      <c r="O142" s="5">
        <f t="shared" si="19"/>
        <v>10.583333333333387</v>
      </c>
      <c r="P142" s="12"/>
      <c r="S142">
        <f t="shared" si="16"/>
        <v>-15.289999999999992</v>
      </c>
    </row>
    <row r="143" spans="1:19" x14ac:dyDescent="0.15">
      <c r="A143" s="60">
        <v>122</v>
      </c>
      <c r="B143" s="60" t="s">
        <v>119</v>
      </c>
      <c r="C143" s="3">
        <f>IFERROR(ABS(N140*$L$2/(E143-F143)/10000),"")</f>
        <v>193.07558702738473</v>
      </c>
      <c r="D143" s="51">
        <v>42321</v>
      </c>
      <c r="E143" s="60">
        <v>159.41999999999999</v>
      </c>
      <c r="F143" s="60">
        <v>157.97</v>
      </c>
      <c r="G143" s="51">
        <v>42006</v>
      </c>
      <c r="H143" s="60">
        <v>172.82</v>
      </c>
      <c r="I143" s="60" t="s">
        <v>122</v>
      </c>
      <c r="J143" s="8">
        <f t="shared" si="22"/>
        <v>1340.0000000000005</v>
      </c>
      <c r="K143" s="8">
        <f t="shared" si="21"/>
        <v>25872128.661669564</v>
      </c>
      <c r="L143" s="9" t="str">
        <f t="shared" si="17"/>
        <v/>
      </c>
      <c r="M143" s="10" t="str">
        <f t="shared" si="18"/>
        <v/>
      </c>
      <c r="N143" s="4">
        <f>IF(I142="ー",N142+0,IF(M143&lt;1,M143+N142,K143+N142))</f>
        <v>99585417.6074159</v>
      </c>
      <c r="O143" s="5">
        <f t="shared" si="19"/>
        <v>9.2413793103449038</v>
      </c>
      <c r="P143" t="s">
        <v>168</v>
      </c>
      <c r="Q143" s="11">
        <f>AVERAGE(O131:O146)</f>
        <v>3.6414268086249106</v>
      </c>
      <c r="S143">
        <f t="shared" ref="S143:S173" si="23">F143-H143</f>
        <v>-14.849999999999994</v>
      </c>
    </row>
    <row r="144" spans="1:19" x14ac:dyDescent="0.15">
      <c r="A144" s="60">
        <v>123</v>
      </c>
      <c r="B144" s="60" t="s">
        <v>119</v>
      </c>
      <c r="C144" s="3">
        <f>IFERROR(ABS(N140*$L$2/(E144-F144)/10000),"")</f>
        <v>99.276454322590908</v>
      </c>
      <c r="D144" s="51">
        <v>42329</v>
      </c>
      <c r="E144" s="60">
        <v>164.06</v>
      </c>
      <c r="F144" s="60">
        <v>161.24</v>
      </c>
      <c r="G144" s="51">
        <v>42006</v>
      </c>
      <c r="H144" s="60">
        <v>172.82</v>
      </c>
      <c r="I144" s="60" t="s">
        <v>122</v>
      </c>
      <c r="J144" s="8">
        <f t="shared" si="22"/>
        <v>875.99999999999909</v>
      </c>
      <c r="K144" s="8">
        <f>IFERROR(IF(J144&gt;=0,J144*C144*100,""),"")</f>
        <v>8696617.3986589555</v>
      </c>
      <c r="L144" s="9" t="str">
        <f t="shared" si="17"/>
        <v/>
      </c>
      <c r="M144" s="10" t="str">
        <f>IFERROR(IF(L144&lt;=0,L144*C144*100,""),"")</f>
        <v/>
      </c>
      <c r="N144" s="4">
        <f>IF(I144="ー",N143+0,IF(M144&lt;1,M144+N143,K144+N143))</f>
        <v>108282035.00607486</v>
      </c>
      <c r="O144" s="5">
        <f t="shared" si="19"/>
        <v>3.1063829787234085</v>
      </c>
      <c r="P144" t="s">
        <v>166</v>
      </c>
      <c r="Q144" s="77">
        <f>COUNTIF(K131:K146,"&gt;0")/COUNTIF(N131:N146,"&gt;0")</f>
        <v>0.6875</v>
      </c>
      <c r="S144">
        <f t="shared" si="23"/>
        <v>-11.579999999999984</v>
      </c>
    </row>
    <row r="145" spans="1:19" x14ac:dyDescent="0.15">
      <c r="A145" s="60">
        <v>124</v>
      </c>
      <c r="B145" s="60" t="s">
        <v>119</v>
      </c>
      <c r="C145" s="3">
        <f>IFERROR(ABS(N140*$L$2/(E145-F145)/10000),"")</f>
        <v>129.0136411012476</v>
      </c>
      <c r="D145" s="51">
        <v>42344</v>
      </c>
      <c r="E145" s="60">
        <v>168.25</v>
      </c>
      <c r="F145" s="60">
        <v>166.08</v>
      </c>
      <c r="G145" s="51">
        <v>42006</v>
      </c>
      <c r="H145" s="60">
        <v>172.82</v>
      </c>
      <c r="I145" s="60" t="s">
        <v>122</v>
      </c>
      <c r="J145" s="8">
        <f t="shared" si="22"/>
        <v>456.99999999999932</v>
      </c>
      <c r="K145" s="8">
        <f t="shared" ref="K145:K165" si="24">IFERROR(IF(J145&gt;=0,J145*C145*100,""),"")</f>
        <v>5895923.398327007</v>
      </c>
      <c r="L145" s="9" t="str">
        <f t="shared" si="17"/>
        <v/>
      </c>
      <c r="M145" s="10" t="str">
        <f t="shared" ref="M145:M165" si="25">IFERROR(IF(L145&lt;=0,L145*C145*100,""),"")</f>
        <v/>
      </c>
      <c r="N145" s="4">
        <f t="shared" ref="N145:N165" si="26">IF(I144="ー",N144+0,IF(M145&lt;1,M145+N144,K145+N144))</f>
        <v>114177958.40440187</v>
      </c>
      <c r="O145" s="5">
        <f t="shared" si="19"/>
        <v>2.1059907834101472</v>
      </c>
      <c r="P145" t="s">
        <v>161</v>
      </c>
      <c r="Q145" s="77">
        <f>Q146/N129</f>
        <v>2.2962978363467124</v>
      </c>
      <c r="S145">
        <f t="shared" si="23"/>
        <v>-6.7399999999999807</v>
      </c>
    </row>
    <row r="146" spans="1:19" x14ac:dyDescent="0.15">
      <c r="A146" s="60">
        <v>125</v>
      </c>
      <c r="B146" s="60" t="s">
        <v>119</v>
      </c>
      <c r="C146" s="3">
        <f>IFERROR(ABS(N140*$L$2/(E146-F146)/10000),"")</f>
        <v>67.460144864989218</v>
      </c>
      <c r="D146" s="58">
        <v>42356</v>
      </c>
      <c r="E146" s="60">
        <v>171.18</v>
      </c>
      <c r="F146" s="60">
        <v>167.03</v>
      </c>
      <c r="G146" s="51">
        <v>42006</v>
      </c>
      <c r="H146" s="60">
        <v>172.82</v>
      </c>
      <c r="I146" s="60" t="s">
        <v>122</v>
      </c>
      <c r="J146" s="8">
        <f t="shared" si="22"/>
        <v>163.99999999999864</v>
      </c>
      <c r="K146" s="8">
        <f t="shared" si="24"/>
        <v>1106346.3757858141</v>
      </c>
      <c r="L146" s="9" t="str">
        <f t="shared" si="17"/>
        <v/>
      </c>
      <c r="M146" s="10" t="str">
        <f t="shared" si="25"/>
        <v/>
      </c>
      <c r="N146" s="4">
        <f t="shared" si="26"/>
        <v>115284304.78018768</v>
      </c>
      <c r="O146" s="5">
        <f t="shared" si="19"/>
        <v>0.39518072289156242</v>
      </c>
      <c r="P146" t="s">
        <v>160</v>
      </c>
      <c r="Q146" s="71">
        <f>N146-N129</f>
        <v>80310430.905987859</v>
      </c>
      <c r="S146">
        <f t="shared" si="23"/>
        <v>-5.789999999999992</v>
      </c>
    </row>
    <row r="147" spans="1:19" x14ac:dyDescent="0.15">
      <c r="A147" s="60"/>
      <c r="C147" s="3"/>
      <c r="D147" s="75" t="s">
        <v>169</v>
      </c>
      <c r="E147" s="60"/>
      <c r="F147" s="60"/>
      <c r="H147" s="60"/>
      <c r="I147" s="60"/>
      <c r="J147" s="8"/>
      <c r="K147" s="8"/>
      <c r="L147" s="9"/>
      <c r="M147" s="10"/>
      <c r="N147" s="4"/>
      <c r="O147" s="5"/>
      <c r="Q147" s="71"/>
    </row>
    <row r="148" spans="1:19" x14ac:dyDescent="0.15">
      <c r="A148" s="60">
        <v>126</v>
      </c>
      <c r="B148" s="60" t="s">
        <v>120</v>
      </c>
      <c r="C148" s="3">
        <f>IFERROR(ABS(N146*$L$2/(E148-F148)/10000),"")</f>
        <v>191.50216740895021</v>
      </c>
      <c r="D148" s="51">
        <v>42006</v>
      </c>
      <c r="E148" s="60">
        <v>171.83</v>
      </c>
      <c r="F148" s="60">
        <v>174.84</v>
      </c>
      <c r="G148" s="51">
        <v>42026</v>
      </c>
      <c r="H148" s="60">
        <v>173.12</v>
      </c>
      <c r="I148" s="60" t="s">
        <v>123</v>
      </c>
      <c r="J148" s="8" t="str">
        <f t="shared" si="22"/>
        <v/>
      </c>
      <c r="K148" s="8" t="str">
        <f t="shared" si="24"/>
        <v/>
      </c>
      <c r="L148" s="9">
        <f t="shared" ref="L148:L167" si="27">IFERROR(IF(AND(B148="売",I148="負"),(E148-H148),IF(AND(B148="買",I148="負"),(H148-E148),""))*100,"")</f>
        <v>-128.9999999999992</v>
      </c>
      <c r="M148" s="10">
        <f t="shared" si="25"/>
        <v>-2470377.9595754426</v>
      </c>
      <c r="N148" s="4">
        <f>IF(I146="ー",N146+0,IF(M148&lt;1,M148+N146,K148+N146))</f>
        <v>112813926.82061224</v>
      </c>
      <c r="O148" s="5"/>
      <c r="P148" s="12"/>
      <c r="S148">
        <f t="shared" si="23"/>
        <v>1.7199999999999989</v>
      </c>
    </row>
    <row r="149" spans="1:19" x14ac:dyDescent="0.15">
      <c r="A149" s="60">
        <v>127</v>
      </c>
      <c r="B149" s="60" t="s">
        <v>120</v>
      </c>
      <c r="C149" s="3">
        <f t="shared" ref="C149:C173" si="28">IFERROR(ABS(N148*$L$2/(E149-F149)/10000),"")</f>
        <v>203.63524696861342</v>
      </c>
      <c r="D149" s="51">
        <v>42033</v>
      </c>
      <c r="E149" s="60">
        <v>168.69</v>
      </c>
      <c r="F149" s="60">
        <v>171.46</v>
      </c>
      <c r="G149" s="51">
        <v>42044</v>
      </c>
      <c r="H149" s="60">
        <v>168.21</v>
      </c>
      <c r="I149" s="60" t="s">
        <v>122</v>
      </c>
      <c r="J149" s="8">
        <f t="shared" si="22"/>
        <v>47.999999999998977</v>
      </c>
      <c r="K149" s="8">
        <f t="shared" si="24"/>
        <v>977449.1854493235</v>
      </c>
      <c r="L149" s="9" t="str">
        <f t="shared" si="27"/>
        <v/>
      </c>
      <c r="M149" s="10" t="str">
        <f t="shared" si="25"/>
        <v/>
      </c>
      <c r="N149" s="4">
        <f t="shared" si="26"/>
        <v>113791376.00606155</v>
      </c>
      <c r="O149" s="5">
        <f t="shared" si="19"/>
        <v>0.17328519855595234</v>
      </c>
      <c r="P149" s="12"/>
      <c r="S149">
        <f t="shared" si="23"/>
        <v>3.25</v>
      </c>
    </row>
    <row r="150" spans="1:19" x14ac:dyDescent="0.15">
      <c r="A150" s="60">
        <v>128</v>
      </c>
      <c r="B150" s="60" t="s">
        <v>119</v>
      </c>
      <c r="C150" s="3">
        <f t="shared" si="28"/>
        <v>360.09929115841987</v>
      </c>
      <c r="D150" s="51">
        <v>42046</v>
      </c>
      <c r="E150" s="60">
        <v>169.08</v>
      </c>
      <c r="F150" s="60">
        <v>167.5</v>
      </c>
      <c r="G150" s="51">
        <v>42054</v>
      </c>
      <c r="H150" s="60">
        <v>169.89</v>
      </c>
      <c r="I150" s="60" t="s">
        <v>122</v>
      </c>
      <c r="J150" s="8">
        <f t="shared" si="22"/>
        <v>80.999999999997385</v>
      </c>
      <c r="K150" s="8">
        <f t="shared" si="24"/>
        <v>2916804.2583831069</v>
      </c>
      <c r="L150" s="9" t="str">
        <f t="shared" si="27"/>
        <v/>
      </c>
      <c r="M150" s="10" t="str">
        <f t="shared" si="25"/>
        <v/>
      </c>
      <c r="N150" s="4">
        <f t="shared" si="26"/>
        <v>116708180.26444466</v>
      </c>
      <c r="O150" s="5">
        <f t="shared" si="19"/>
        <v>0.51265822784808068</v>
      </c>
      <c r="P150" s="12"/>
      <c r="S150">
        <f t="shared" si="23"/>
        <v>-2.3899999999999864</v>
      </c>
    </row>
    <row r="151" spans="1:19" x14ac:dyDescent="0.15">
      <c r="A151" s="60">
        <v>129</v>
      </c>
      <c r="B151" s="60" t="s">
        <v>120</v>
      </c>
      <c r="C151" s="3">
        <f t="shared" si="28"/>
        <v>438.75255738512624</v>
      </c>
      <c r="D151" s="51">
        <v>42073</v>
      </c>
      <c r="E151" s="60">
        <v>171.53</v>
      </c>
      <c r="F151" s="60">
        <v>172.86</v>
      </c>
      <c r="G151" s="51">
        <v>42082</v>
      </c>
      <c r="H151" s="60">
        <v>169.6</v>
      </c>
      <c r="I151" s="60" t="s">
        <v>122</v>
      </c>
      <c r="J151" s="8">
        <f t="shared" si="22"/>
        <v>193.00000000000068</v>
      </c>
      <c r="K151" s="8">
        <f t="shared" si="24"/>
        <v>8467924.3575329669</v>
      </c>
      <c r="L151" s="9" t="str">
        <f t="shared" si="27"/>
        <v/>
      </c>
      <c r="M151" s="10" t="str">
        <f t="shared" si="25"/>
        <v/>
      </c>
      <c r="N151" s="4">
        <f t="shared" si="26"/>
        <v>125176104.62197763</v>
      </c>
      <c r="O151" s="5">
        <f t="shared" ref="O151:O173" si="29">(H151-E151)/(E151-F151)</f>
        <v>1.4511278195488637</v>
      </c>
      <c r="P151" s="12"/>
      <c r="S151">
        <f t="shared" si="23"/>
        <v>3.2600000000000193</v>
      </c>
    </row>
    <row r="152" spans="1:19" x14ac:dyDescent="0.15">
      <c r="A152" s="60">
        <v>130</v>
      </c>
      <c r="B152" s="60" t="s">
        <v>119</v>
      </c>
      <c r="C152" s="3">
        <f t="shared" si="28"/>
        <v>370.34350479875093</v>
      </c>
      <c r="D152" s="51">
        <v>42090</v>
      </c>
      <c r="E152" s="60">
        <v>170.32</v>
      </c>
      <c r="F152" s="60">
        <v>168.63</v>
      </c>
      <c r="G152" s="51">
        <v>42098</v>
      </c>
      <c r="H152" s="60">
        <v>170.98</v>
      </c>
      <c r="I152" s="60" t="s">
        <v>122</v>
      </c>
      <c r="J152" s="8">
        <f t="shared" si="22"/>
        <v>65.999999999999659</v>
      </c>
      <c r="K152" s="8">
        <f t="shared" si="24"/>
        <v>2444267.1316717435</v>
      </c>
      <c r="L152" s="9" t="str">
        <f t="shared" si="27"/>
        <v/>
      </c>
      <c r="M152" s="10" t="str">
        <f t="shared" si="25"/>
        <v/>
      </c>
      <c r="N152" s="4">
        <f t="shared" si="26"/>
        <v>127620371.75364937</v>
      </c>
      <c r="O152" s="5">
        <f t="shared" si="29"/>
        <v>0.39053254437869672</v>
      </c>
      <c r="P152" s="12"/>
      <c r="S152">
        <f t="shared" si="23"/>
        <v>-2.3499999999999943</v>
      </c>
    </row>
    <row r="153" spans="1:19" x14ac:dyDescent="0.15">
      <c r="A153" s="60">
        <v>131</v>
      </c>
      <c r="B153" s="60" t="s">
        <v>119</v>
      </c>
      <c r="C153" s="3">
        <f t="shared" si="28"/>
        <v>354.50103264902378</v>
      </c>
      <c r="D153" s="51">
        <v>42110</v>
      </c>
      <c r="E153" s="60">
        <v>172.09</v>
      </c>
      <c r="F153" s="60">
        <v>170.29</v>
      </c>
      <c r="G153" s="51">
        <v>42117</v>
      </c>
      <c r="H153" s="60">
        <v>171.45</v>
      </c>
      <c r="I153" s="60" t="s">
        <v>123</v>
      </c>
      <c r="J153" s="8" t="str">
        <f t="shared" si="22"/>
        <v/>
      </c>
      <c r="K153" s="8" t="str">
        <f t="shared" si="24"/>
        <v/>
      </c>
      <c r="L153" s="9">
        <f t="shared" si="27"/>
        <v>-64.000000000001478</v>
      </c>
      <c r="M153" s="10">
        <f t="shared" si="25"/>
        <v>-2268806.6089538047</v>
      </c>
      <c r="N153" s="4">
        <f t="shared" si="26"/>
        <v>125351565.14469557</v>
      </c>
      <c r="O153" s="5"/>
      <c r="P153" s="12"/>
      <c r="S153">
        <f t="shared" si="23"/>
        <v>-1.1599999999999966</v>
      </c>
    </row>
    <row r="154" spans="1:19" x14ac:dyDescent="0.15">
      <c r="A154" s="60">
        <v>132</v>
      </c>
      <c r="B154" s="60" t="s">
        <v>119</v>
      </c>
      <c r="C154" s="3">
        <f t="shared" si="28"/>
        <v>478.44108833853181</v>
      </c>
      <c r="D154" s="51">
        <v>42122</v>
      </c>
      <c r="E154" s="60">
        <v>172.57</v>
      </c>
      <c r="F154" s="60">
        <v>171.26</v>
      </c>
      <c r="G154" s="51">
        <v>42129</v>
      </c>
      <c r="H154" s="60">
        <v>171.93</v>
      </c>
      <c r="I154" s="60" t="s">
        <v>123</v>
      </c>
      <c r="J154" s="8" t="str">
        <f t="shared" si="22"/>
        <v/>
      </c>
      <c r="K154" s="8" t="str">
        <f t="shared" si="24"/>
        <v/>
      </c>
      <c r="L154" s="9">
        <f t="shared" si="27"/>
        <v>-63.999999999998636</v>
      </c>
      <c r="M154" s="10">
        <f t="shared" si="25"/>
        <v>-3062022.9653665386</v>
      </c>
      <c r="N154" s="4">
        <f t="shared" si="26"/>
        <v>122289542.17932902</v>
      </c>
      <c r="O154" s="5"/>
      <c r="P154" s="12"/>
      <c r="S154">
        <f t="shared" si="23"/>
        <v>-0.67000000000001592</v>
      </c>
    </row>
    <row r="155" spans="1:19" x14ac:dyDescent="0.15">
      <c r="A155" s="60">
        <v>133</v>
      </c>
      <c r="B155" s="60" t="s">
        <v>119</v>
      </c>
      <c r="C155" s="3">
        <f t="shared" si="28"/>
        <v>815.2636145288601</v>
      </c>
      <c r="D155" s="51">
        <v>42130</v>
      </c>
      <c r="E155" s="60">
        <v>172.94</v>
      </c>
      <c r="F155" s="60">
        <v>172.19</v>
      </c>
      <c r="G155" s="51">
        <v>42131</v>
      </c>
      <c r="H155" s="60">
        <v>172.19</v>
      </c>
      <c r="I155" s="60" t="s">
        <v>123</v>
      </c>
      <c r="J155" s="8" t="str">
        <f t="shared" si="22"/>
        <v/>
      </c>
      <c r="K155" s="8" t="str">
        <f t="shared" si="24"/>
        <v/>
      </c>
      <c r="L155" s="9">
        <f t="shared" si="27"/>
        <v>-75</v>
      </c>
      <c r="M155" s="10">
        <f t="shared" si="25"/>
        <v>-6114477.1089664511</v>
      </c>
      <c r="N155" s="4">
        <f t="shared" si="26"/>
        <v>116175065.07036257</v>
      </c>
      <c r="O155" s="5"/>
      <c r="P155" s="12"/>
      <c r="R155" s="79">
        <f>SUM(M153:M155)/N152</f>
        <v>-8.968244274809134E-2</v>
      </c>
      <c r="S155">
        <f t="shared" si="23"/>
        <v>0</v>
      </c>
    </row>
    <row r="156" spans="1:19" x14ac:dyDescent="0.15">
      <c r="A156" s="60">
        <v>134</v>
      </c>
      <c r="B156" s="60" t="s">
        <v>120</v>
      </c>
      <c r="C156" s="3">
        <f t="shared" si="28"/>
        <v>586.74275288063052</v>
      </c>
      <c r="D156" s="51">
        <v>42132</v>
      </c>
      <c r="E156" s="60">
        <v>171.86</v>
      </c>
      <c r="F156" s="60">
        <v>172.85</v>
      </c>
      <c r="G156" s="51">
        <v>42145</v>
      </c>
      <c r="H156" s="60">
        <v>171.02</v>
      </c>
      <c r="I156" s="60" t="s">
        <v>122</v>
      </c>
      <c r="J156" s="8">
        <f t="shared" si="22"/>
        <v>84.000000000000341</v>
      </c>
      <c r="K156" s="8">
        <f t="shared" si="24"/>
        <v>4928639.1241973164</v>
      </c>
      <c r="L156" s="9" t="str">
        <f t="shared" si="27"/>
        <v/>
      </c>
      <c r="M156" s="10" t="str">
        <f t="shared" si="25"/>
        <v/>
      </c>
      <c r="N156" s="4">
        <f t="shared" si="26"/>
        <v>121103704.19455989</v>
      </c>
      <c r="O156" s="5">
        <f t="shared" si="29"/>
        <v>0.84848484848486849</v>
      </c>
      <c r="P156" s="12"/>
      <c r="R156" s="41"/>
      <c r="S156">
        <f t="shared" si="23"/>
        <v>1.8299999999999841</v>
      </c>
    </row>
    <row r="157" spans="1:19" x14ac:dyDescent="0.15">
      <c r="A157" s="60">
        <v>135</v>
      </c>
      <c r="B157" s="60" t="s">
        <v>119</v>
      </c>
      <c r="C157" s="3">
        <f t="shared" si="28"/>
        <v>275.23569135127394</v>
      </c>
      <c r="D157" s="51">
        <v>42157</v>
      </c>
      <c r="E157" s="60">
        <v>171.61</v>
      </c>
      <c r="F157" s="60">
        <v>173.81</v>
      </c>
      <c r="G157" s="51">
        <v>42173</v>
      </c>
      <c r="H157" s="60">
        <v>173.43</v>
      </c>
      <c r="I157" s="60" t="s">
        <v>122</v>
      </c>
      <c r="J157" s="8">
        <f t="shared" si="22"/>
        <v>181.99999999999932</v>
      </c>
      <c r="K157" s="8">
        <f t="shared" si="24"/>
        <v>5009289.5825931672</v>
      </c>
      <c r="L157" s="9" t="str">
        <f t="shared" si="27"/>
        <v/>
      </c>
      <c r="M157" s="10" t="str">
        <f t="shared" si="25"/>
        <v/>
      </c>
      <c r="N157" s="4">
        <f t="shared" si="26"/>
        <v>126112993.77715306</v>
      </c>
      <c r="O157" s="5"/>
      <c r="P157" s="12"/>
      <c r="S157">
        <f t="shared" si="23"/>
        <v>0.37999999999999545</v>
      </c>
    </row>
    <row r="158" spans="1:19" x14ac:dyDescent="0.15">
      <c r="A158" s="60">
        <v>136</v>
      </c>
      <c r="B158" s="60" t="s">
        <v>119</v>
      </c>
      <c r="C158" s="3">
        <f>IFERROR(ABS(N156*$L$2/(E158-F158)/10000),"")</f>
        <v>414.7387129950659</v>
      </c>
      <c r="D158" s="51">
        <v>42167</v>
      </c>
      <c r="E158" s="60">
        <v>172.49</v>
      </c>
      <c r="F158" s="60">
        <v>171.03</v>
      </c>
      <c r="G158" s="51">
        <v>42173</v>
      </c>
      <c r="H158" s="60">
        <v>172.72</v>
      </c>
      <c r="I158" s="60" t="s">
        <v>122</v>
      </c>
      <c r="J158" s="8">
        <f t="shared" si="22"/>
        <v>22.999999999998977</v>
      </c>
      <c r="K158" s="8">
        <f t="shared" si="24"/>
        <v>953899.0398886092</v>
      </c>
      <c r="L158" s="9" t="str">
        <f t="shared" si="27"/>
        <v/>
      </c>
      <c r="M158" s="10" t="str">
        <f t="shared" si="25"/>
        <v/>
      </c>
      <c r="N158" s="4">
        <f t="shared" si="26"/>
        <v>127066892.81704167</v>
      </c>
      <c r="O158" s="5">
        <f t="shared" si="29"/>
        <v>0.1575342465753346</v>
      </c>
      <c r="P158" s="12"/>
      <c r="S158">
        <f t="shared" si="23"/>
        <v>-1.6899999999999977</v>
      </c>
    </row>
    <row r="159" spans="1:19" x14ac:dyDescent="0.15">
      <c r="A159" s="60">
        <v>137</v>
      </c>
      <c r="B159" s="60" t="s">
        <v>120</v>
      </c>
      <c r="C159" s="3">
        <f t="shared" si="28"/>
        <v>977.43763705415824</v>
      </c>
      <c r="D159" s="51">
        <v>42178</v>
      </c>
      <c r="E159" s="60">
        <v>173.16</v>
      </c>
      <c r="F159" s="60">
        <v>173.81</v>
      </c>
      <c r="G159" s="51">
        <v>42186</v>
      </c>
      <c r="H159" s="60">
        <v>173.43</v>
      </c>
      <c r="I159" s="60" t="s">
        <v>123</v>
      </c>
      <c r="J159" s="8" t="str">
        <f t="shared" si="22"/>
        <v/>
      </c>
      <c r="K159" s="8" t="str">
        <f t="shared" si="24"/>
        <v/>
      </c>
      <c r="L159" s="9">
        <f t="shared" si="27"/>
        <v>-27.000000000001023</v>
      </c>
      <c r="M159" s="10">
        <f t="shared" si="25"/>
        <v>-2639081.6200463274</v>
      </c>
      <c r="N159" s="4">
        <f t="shared" si="26"/>
        <v>124427811.19699533</v>
      </c>
      <c r="O159" s="5"/>
      <c r="P159" s="12"/>
      <c r="R159" s="79">
        <f>SUM(M159:M162/N158)</f>
        <v>-2.076923076923138E-2</v>
      </c>
      <c r="S159">
        <f t="shared" si="23"/>
        <v>0.37999999999999545</v>
      </c>
    </row>
    <row r="160" spans="1:19" x14ac:dyDescent="0.15">
      <c r="A160" s="60">
        <v>138</v>
      </c>
      <c r="B160" s="60" t="s">
        <v>120</v>
      </c>
      <c r="C160" s="3">
        <f t="shared" si="28"/>
        <v>460.84374517404905</v>
      </c>
      <c r="D160" s="51">
        <v>42195</v>
      </c>
      <c r="E160" s="60">
        <v>172.95</v>
      </c>
      <c r="F160" s="60">
        <v>174.3</v>
      </c>
      <c r="G160" s="51">
        <v>42200</v>
      </c>
      <c r="H160" s="60">
        <v>174.3</v>
      </c>
      <c r="I160" s="60" t="s">
        <v>123</v>
      </c>
      <c r="J160" s="8" t="str">
        <f t="shared" si="22"/>
        <v/>
      </c>
      <c r="K160" s="8" t="str">
        <f t="shared" si="24"/>
        <v/>
      </c>
      <c r="L160" s="9">
        <f t="shared" si="27"/>
        <v>-135.00000000000227</v>
      </c>
      <c r="M160" s="10">
        <f t="shared" si="25"/>
        <v>-6221390.559849767</v>
      </c>
      <c r="N160" s="4">
        <f t="shared" si="26"/>
        <v>118206420.63714556</v>
      </c>
      <c r="O160" s="5"/>
      <c r="P160" s="12"/>
      <c r="S160">
        <f t="shared" si="23"/>
        <v>0</v>
      </c>
    </row>
    <row r="161" spans="1:19" x14ac:dyDescent="0.15">
      <c r="A161" s="60">
        <v>139</v>
      </c>
      <c r="B161" s="60" t="s">
        <v>120</v>
      </c>
      <c r="C161" s="3">
        <f t="shared" si="28"/>
        <v>367.10068520852997</v>
      </c>
      <c r="D161" s="51">
        <v>42222</v>
      </c>
      <c r="E161" s="60">
        <v>171.56</v>
      </c>
      <c r="F161" s="60">
        <v>173.17</v>
      </c>
      <c r="G161" s="51">
        <v>42238</v>
      </c>
      <c r="H161" s="60">
        <v>172.58</v>
      </c>
      <c r="I161" s="60" t="s">
        <v>123</v>
      </c>
      <c r="J161" s="8" t="str">
        <f t="shared" si="22"/>
        <v/>
      </c>
      <c r="K161" s="8" t="str">
        <f t="shared" si="24"/>
        <v/>
      </c>
      <c r="L161" s="9">
        <f t="shared" si="27"/>
        <v>-102.00000000000102</v>
      </c>
      <c r="M161" s="10">
        <f t="shared" si="25"/>
        <v>-3744426.9891270427</v>
      </c>
      <c r="N161" s="4">
        <f t="shared" si="26"/>
        <v>114461993.64801852</v>
      </c>
      <c r="O161" s="5"/>
      <c r="P161" s="12"/>
      <c r="S161">
        <f t="shared" si="23"/>
        <v>0.58999999999997499</v>
      </c>
    </row>
    <row r="162" spans="1:19" x14ac:dyDescent="0.15">
      <c r="A162" s="60">
        <v>140</v>
      </c>
      <c r="B162" s="60" t="s">
        <v>119</v>
      </c>
      <c r="C162" s="3">
        <f t="shared" si="28"/>
        <v>665.47670725591115</v>
      </c>
      <c r="D162" s="51">
        <v>42245</v>
      </c>
      <c r="E162" s="60">
        <v>172.8</v>
      </c>
      <c r="F162" s="60">
        <v>171.94</v>
      </c>
      <c r="G162" s="51">
        <v>42251</v>
      </c>
      <c r="H162" s="60">
        <v>171.94</v>
      </c>
      <c r="I162" s="60" t="s">
        <v>123</v>
      </c>
      <c r="J162" s="8" t="str">
        <f t="shared" si="22"/>
        <v/>
      </c>
      <c r="K162" s="8" t="str">
        <f t="shared" si="24"/>
        <v/>
      </c>
      <c r="L162" s="9">
        <f t="shared" si="27"/>
        <v>-86.000000000001364</v>
      </c>
      <c r="M162" s="10">
        <f t="shared" si="25"/>
        <v>-5723099.682400926</v>
      </c>
      <c r="N162" s="4">
        <f t="shared" si="26"/>
        <v>108738893.9656176</v>
      </c>
      <c r="O162" s="5"/>
      <c r="P162" t="s">
        <v>168</v>
      </c>
      <c r="Q162" s="11">
        <f>AVERAGE(O48:O165)</f>
        <v>3.3019566850685971</v>
      </c>
      <c r="R162" s="79">
        <f>SUM(M159:M162)/N158</f>
        <v>-0.14423897873865371</v>
      </c>
      <c r="S162">
        <f t="shared" si="23"/>
        <v>0</v>
      </c>
    </row>
    <row r="163" spans="1:19" x14ac:dyDescent="0.15">
      <c r="A163" s="60">
        <v>141</v>
      </c>
      <c r="B163" s="60" t="s">
        <v>120</v>
      </c>
      <c r="C163" s="3">
        <f t="shared" si="28"/>
        <v>402.73664431710392</v>
      </c>
      <c r="D163" s="51">
        <v>42272</v>
      </c>
      <c r="E163" s="60">
        <v>177.13</v>
      </c>
      <c r="F163" s="60">
        <v>178.48</v>
      </c>
      <c r="G163" s="51">
        <v>42300</v>
      </c>
      <c r="H163" s="60">
        <v>173.05</v>
      </c>
      <c r="I163" s="60" t="s">
        <v>122</v>
      </c>
      <c r="J163" s="8">
        <f t="shared" si="22"/>
        <v>407.99999999999841</v>
      </c>
      <c r="K163" s="8">
        <f t="shared" si="24"/>
        <v>16431655.088137778</v>
      </c>
      <c r="L163" s="9" t="str">
        <f t="shared" si="27"/>
        <v/>
      </c>
      <c r="M163" s="10" t="str">
        <f t="shared" si="25"/>
        <v/>
      </c>
      <c r="N163" s="4">
        <f t="shared" si="26"/>
        <v>125170549.05375537</v>
      </c>
      <c r="O163" s="5">
        <f t="shared" si="29"/>
        <v>3.022222222222223</v>
      </c>
      <c r="P163" t="s">
        <v>166</v>
      </c>
      <c r="Q163" s="77">
        <f>COUNTIF(K148:K165,"&gt;0")/COUNTIF(N148:N165,"&gt;0")</f>
        <v>0.55555555555555558</v>
      </c>
      <c r="S163">
        <f t="shared" si="23"/>
        <v>5.4299999999999784</v>
      </c>
    </row>
    <row r="164" spans="1:19" x14ac:dyDescent="0.15">
      <c r="A164" s="60">
        <v>142</v>
      </c>
      <c r="B164" s="60" t="s">
        <v>120</v>
      </c>
      <c r="C164" s="3">
        <f>IFERROR(ABS(N162*$L$2/(E164-F164)/10000),"")</f>
        <v>380.20592295670309</v>
      </c>
      <c r="D164" s="51">
        <v>42286</v>
      </c>
      <c r="E164" s="60">
        <v>173.57</v>
      </c>
      <c r="F164" s="60">
        <v>175</v>
      </c>
      <c r="G164" s="51">
        <v>42300</v>
      </c>
      <c r="H164" s="60">
        <v>173.05</v>
      </c>
      <c r="I164" s="60" t="s">
        <v>122</v>
      </c>
      <c r="J164" s="8">
        <f t="shared" si="22"/>
        <v>51.999999999998181</v>
      </c>
      <c r="K164" s="8">
        <f t="shared" si="24"/>
        <v>1977070.7993747871</v>
      </c>
      <c r="L164" s="9" t="str">
        <f t="shared" si="27"/>
        <v/>
      </c>
      <c r="M164" s="10" t="str">
        <f t="shared" si="25"/>
        <v/>
      </c>
      <c r="N164" s="4">
        <f t="shared" si="26"/>
        <v>127147619.85313016</v>
      </c>
      <c r="O164" s="5">
        <f t="shared" si="29"/>
        <v>0.36363636363634916</v>
      </c>
      <c r="P164" t="s">
        <v>161</v>
      </c>
      <c r="Q164" s="77">
        <f>Q165/N146</f>
        <v>0.4886387628839669</v>
      </c>
      <c r="S164">
        <f t="shared" si="23"/>
        <v>1.9499999999999886</v>
      </c>
    </row>
    <row r="165" spans="1:19" x14ac:dyDescent="0.15">
      <c r="A165" s="60">
        <v>143</v>
      </c>
      <c r="B165" s="60" t="s">
        <v>119</v>
      </c>
      <c r="C165" s="3">
        <f t="shared" si="28"/>
        <v>326.0195380849463</v>
      </c>
      <c r="D165" s="51">
        <v>42300</v>
      </c>
      <c r="E165" s="60">
        <v>173.65</v>
      </c>
      <c r="F165" s="60">
        <v>171.7</v>
      </c>
      <c r="G165" s="51">
        <v>42347</v>
      </c>
      <c r="H165" s="60">
        <v>187.29</v>
      </c>
      <c r="I165" s="60" t="s">
        <v>122</v>
      </c>
      <c r="J165" s="8">
        <f t="shared" si="22"/>
        <v>1363.9999999999986</v>
      </c>
      <c r="K165" s="8">
        <f t="shared" si="24"/>
        <v>44469064.994786635</v>
      </c>
      <c r="L165" s="9" t="str">
        <f t="shared" si="27"/>
        <v/>
      </c>
      <c r="M165" s="10" t="str">
        <f t="shared" si="25"/>
        <v/>
      </c>
      <c r="N165" s="4">
        <f t="shared" si="26"/>
        <v>171616684.84791678</v>
      </c>
      <c r="O165" s="5">
        <f t="shared" si="29"/>
        <v>6.9948717948717265</v>
      </c>
      <c r="P165" t="s">
        <v>160</v>
      </c>
      <c r="Q165" s="71">
        <f>N165-N146</f>
        <v>56332380.067729101</v>
      </c>
      <c r="S165">
        <f t="shared" si="23"/>
        <v>-15.590000000000003</v>
      </c>
    </row>
    <row r="166" spans="1:19" x14ac:dyDescent="0.15">
      <c r="A166" s="60"/>
      <c r="C166" s="3"/>
      <c r="D166" s="59" t="s">
        <v>170</v>
      </c>
      <c r="E166" s="60"/>
      <c r="F166" s="60"/>
      <c r="H166" s="60"/>
      <c r="I166" s="60"/>
      <c r="J166" s="8"/>
      <c r="K166" s="8"/>
      <c r="L166" s="9"/>
      <c r="M166" s="10"/>
      <c r="N166" s="4"/>
      <c r="O166" s="5"/>
      <c r="P166" s="12"/>
    </row>
    <row r="167" spans="1:19" x14ac:dyDescent="0.15">
      <c r="A167" s="60">
        <v>144</v>
      </c>
      <c r="B167" s="60" t="s">
        <v>120</v>
      </c>
      <c r="C167" s="3">
        <f>IFERROR(ABS(N165*$L$2/(E167-F167)/10000),"")</f>
        <v>284.13358418529441</v>
      </c>
      <c r="D167" s="51">
        <v>42006</v>
      </c>
      <c r="E167" s="60">
        <v>184.3</v>
      </c>
      <c r="F167" s="60">
        <v>187.32</v>
      </c>
      <c r="G167" s="51">
        <v>42040</v>
      </c>
      <c r="H167" s="60">
        <v>179.42</v>
      </c>
      <c r="I167" s="60" t="s">
        <v>122</v>
      </c>
      <c r="J167" s="8">
        <f t="shared" ref="J167:J174" si="30">IFERROR(IF(AND(B167="売",I167="勝"),ABS(E167-H167),IF(AND(B167="買",I167="勝"),ABS(E167-H167),""))*100,"")</f>
        <v>488.00000000000239</v>
      </c>
      <c r="K167" s="8">
        <f t="shared" ref="K167:K173" si="31">IFERROR(IF(J167&gt;=0,J167*C167*100,""),"")</f>
        <v>13865718.908242436</v>
      </c>
      <c r="L167" s="9" t="str">
        <f t="shared" ref="L167:L174" si="32">IFERROR(IF(AND(B167="売",I167="負"),(E167-H167),IF(AND(B167="買",I167="負"),(H167-E167),""))*100,"")</f>
        <v/>
      </c>
      <c r="M167" s="10" t="str">
        <f t="shared" ref="M167:M173" si="33">IFERROR(IF(L167&lt;=0,L167*C167*100,""),"")</f>
        <v/>
      </c>
      <c r="N167" s="4">
        <f>IF(I165="ー",N165+0,IF(M167&lt;1,M167+N165,K167+N165))</f>
        <v>185482403.75615922</v>
      </c>
      <c r="O167" s="5">
        <f t="shared" si="29"/>
        <v>1.6158940397351169</v>
      </c>
      <c r="P167" s="12"/>
      <c r="Q167" s="40"/>
      <c r="S167">
        <f t="shared" si="23"/>
        <v>7.9000000000000057</v>
      </c>
    </row>
    <row r="168" spans="1:19" x14ac:dyDescent="0.15">
      <c r="A168" s="60">
        <v>145</v>
      </c>
      <c r="B168" s="60" t="s">
        <v>119</v>
      </c>
      <c r="C168" s="3">
        <f t="shared" si="28"/>
        <v>343.48593288177415</v>
      </c>
      <c r="D168" s="51">
        <v>42040</v>
      </c>
      <c r="E168" s="60">
        <v>180.43</v>
      </c>
      <c r="F168" s="60">
        <v>177.73</v>
      </c>
      <c r="G168" s="51">
        <v>42067</v>
      </c>
      <c r="H168" s="60">
        <v>183.53</v>
      </c>
      <c r="I168" s="60" t="s">
        <v>122</v>
      </c>
      <c r="J168" s="8">
        <f t="shared" si="30"/>
        <v>309.99999999999943</v>
      </c>
      <c r="K168" s="8">
        <f t="shared" si="31"/>
        <v>10648063.91933498</v>
      </c>
      <c r="L168" s="9" t="str">
        <f t="shared" si="32"/>
        <v/>
      </c>
      <c r="M168" s="10" t="str">
        <f t="shared" si="33"/>
        <v/>
      </c>
      <c r="N168" s="4">
        <f>IF(I168="ー",N167+0,IF(M168&lt;1,M168+N167,K168+N167))</f>
        <v>196130467.67549419</v>
      </c>
      <c r="O168" s="5">
        <f t="shared" si="29"/>
        <v>1.1481481481481388</v>
      </c>
      <c r="S168">
        <f t="shared" si="23"/>
        <v>-5.8000000000000114</v>
      </c>
    </row>
    <row r="169" spans="1:19" x14ac:dyDescent="0.15">
      <c r="A169" s="60">
        <v>146</v>
      </c>
      <c r="B169" s="60" t="s">
        <v>119</v>
      </c>
      <c r="C169" s="3">
        <f>IFERROR(ABS(N167*$L$2/(E169-F169)/10000),"")</f>
        <v>512.38233081812677</v>
      </c>
      <c r="D169" s="51">
        <v>42052</v>
      </c>
      <c r="E169" s="60">
        <v>183.39</v>
      </c>
      <c r="F169" s="60">
        <v>181.58</v>
      </c>
      <c r="G169" s="51">
        <v>42067</v>
      </c>
      <c r="H169" s="60">
        <v>183.53</v>
      </c>
      <c r="I169" s="60" t="s">
        <v>122</v>
      </c>
      <c r="J169" s="8">
        <f t="shared" si="30"/>
        <v>14.000000000001478</v>
      </c>
      <c r="K169" s="8">
        <f t="shared" si="31"/>
        <v>717335.2631454533</v>
      </c>
      <c r="L169" s="9" t="str">
        <f t="shared" si="32"/>
        <v/>
      </c>
      <c r="M169" s="10" t="str">
        <f t="shared" si="33"/>
        <v/>
      </c>
      <c r="N169" s="4">
        <f t="shared" ref="N169:N174" si="34">IF(I169="ー",N168+0,IF(M169&lt;1,M169+N168,K169+N168))</f>
        <v>196847802.93863964</v>
      </c>
      <c r="O169" s="5">
        <f t="shared" si="29"/>
        <v>7.7348066298351822E-2</v>
      </c>
      <c r="S169">
        <f t="shared" si="23"/>
        <v>-1.9499999999999886</v>
      </c>
    </row>
    <row r="170" spans="1:19" x14ac:dyDescent="0.15">
      <c r="A170" s="60">
        <v>147</v>
      </c>
      <c r="B170" s="60" t="s">
        <v>119</v>
      </c>
      <c r="C170" s="3">
        <f>IFERROR(ABS(N169*$L$2/(E170-F170)/10000),"")</f>
        <v>693.12606668534306</v>
      </c>
      <c r="D170" s="51">
        <v>42115</v>
      </c>
      <c r="E170" s="60">
        <v>178.9</v>
      </c>
      <c r="F170" s="60">
        <v>177.48</v>
      </c>
      <c r="G170" s="51">
        <v>42183</v>
      </c>
      <c r="H170" s="60">
        <v>191.41</v>
      </c>
      <c r="I170" s="60" t="s">
        <v>122</v>
      </c>
      <c r="J170" s="8">
        <f t="shared" si="30"/>
        <v>1250.9999999999991</v>
      </c>
      <c r="K170" s="8">
        <f t="shared" si="31"/>
        <v>86710070.942336351</v>
      </c>
      <c r="L170" s="9" t="str">
        <f t="shared" si="32"/>
        <v/>
      </c>
      <c r="M170" s="10" t="str">
        <f t="shared" si="33"/>
        <v/>
      </c>
      <c r="N170" s="4">
        <f t="shared" si="34"/>
        <v>283557873.88097596</v>
      </c>
      <c r="O170" s="5">
        <f t="shared" si="29"/>
        <v>8.8098591549294731</v>
      </c>
      <c r="P170" t="s">
        <v>168</v>
      </c>
      <c r="Q170" s="11">
        <f>AVERAGE(O167:O173)</f>
        <v>2.3590929191934742</v>
      </c>
      <c r="S170">
        <f t="shared" si="23"/>
        <v>-13.930000000000007</v>
      </c>
    </row>
    <row r="171" spans="1:19" x14ac:dyDescent="0.15">
      <c r="A171" s="60">
        <v>148</v>
      </c>
      <c r="B171" s="60" t="s">
        <v>119</v>
      </c>
      <c r="C171" s="3">
        <f>IFERROR(ABS(N169*$L$2/(E171-F171)/10000),"")</f>
        <v>660.56309710952496</v>
      </c>
      <c r="D171" s="51">
        <v>42144</v>
      </c>
      <c r="E171" s="60">
        <v>188.61</v>
      </c>
      <c r="F171" s="60">
        <v>187.12</v>
      </c>
      <c r="G171" s="51">
        <v>42183</v>
      </c>
      <c r="H171" s="60">
        <v>191.41</v>
      </c>
      <c r="I171" s="60" t="s">
        <v>122</v>
      </c>
      <c r="J171" s="8">
        <f t="shared" si="30"/>
        <v>279.99999999999829</v>
      </c>
      <c r="K171" s="8">
        <f t="shared" si="31"/>
        <v>18495766.719066586</v>
      </c>
      <c r="L171" s="9" t="str">
        <f t="shared" si="32"/>
        <v/>
      </c>
      <c r="M171" s="10" t="str">
        <f t="shared" si="33"/>
        <v/>
      </c>
      <c r="N171" s="4">
        <f t="shared" si="34"/>
        <v>302053640.60004252</v>
      </c>
      <c r="O171" s="5">
        <f t="shared" si="29"/>
        <v>1.8791946308724603</v>
      </c>
      <c r="P171" t="s">
        <v>166</v>
      </c>
      <c r="Q171" s="77">
        <f>COUNTIF(K167:K173,"&gt;0")/COUNTIF(N167:N173,"&gt;0")</f>
        <v>0.8571428571428571</v>
      </c>
      <c r="S171">
        <f t="shared" si="23"/>
        <v>-4.289999999999992</v>
      </c>
    </row>
    <row r="172" spans="1:19" x14ac:dyDescent="0.15">
      <c r="A172" s="60">
        <v>149</v>
      </c>
      <c r="B172" s="60" t="s">
        <v>119</v>
      </c>
      <c r="C172" s="3">
        <f>IFERROR(ABS(N169*$L$2/(E172-F172)/10000),"")</f>
        <v>698.04185439234072</v>
      </c>
      <c r="D172" s="56">
        <v>42157</v>
      </c>
      <c r="E172" s="60">
        <v>190.53</v>
      </c>
      <c r="F172" s="60">
        <v>189.12</v>
      </c>
      <c r="G172" s="51">
        <v>42183</v>
      </c>
      <c r="H172" s="60">
        <v>191.41</v>
      </c>
      <c r="I172" s="60" t="s">
        <v>122</v>
      </c>
      <c r="J172" s="8">
        <f t="shared" si="30"/>
        <v>87.999999999999545</v>
      </c>
      <c r="K172" s="8">
        <f t="shared" si="31"/>
        <v>6142768.3186525665</v>
      </c>
      <c r="L172" s="9" t="str">
        <f t="shared" si="32"/>
        <v/>
      </c>
      <c r="M172" s="10" t="str">
        <f t="shared" si="33"/>
        <v/>
      </c>
      <c r="N172" s="4">
        <f t="shared" si="34"/>
        <v>308196408.91869509</v>
      </c>
      <c r="O172" s="5">
        <f t="shared" si="29"/>
        <v>0.6241134751773032</v>
      </c>
      <c r="P172" t="s">
        <v>161</v>
      </c>
      <c r="Q172" s="77">
        <f>Q173/N165</f>
        <v>0.77611593244172494</v>
      </c>
      <c r="S172">
        <f t="shared" si="23"/>
        <v>-2.289999999999992</v>
      </c>
    </row>
    <row r="173" spans="1:19" x14ac:dyDescent="0.15">
      <c r="A173" s="60">
        <v>150</v>
      </c>
      <c r="B173" s="60" t="s">
        <v>119</v>
      </c>
      <c r="C173" s="3">
        <f>IFERROR(ABS(N169*$L$2/(E173-F173)/10000),"")</f>
        <v>626.90383101477869</v>
      </c>
      <c r="D173" s="51">
        <v>42166</v>
      </c>
      <c r="E173" s="60">
        <v>191.95</v>
      </c>
      <c r="F173" s="60">
        <v>190.38</v>
      </c>
      <c r="G173" s="51">
        <v>42183</v>
      </c>
      <c r="H173" s="60">
        <v>191.41</v>
      </c>
      <c r="I173" s="60" t="s">
        <v>123</v>
      </c>
      <c r="J173" s="8" t="str">
        <f t="shared" si="30"/>
        <v/>
      </c>
      <c r="K173" s="8" t="str">
        <f t="shared" si="31"/>
        <v/>
      </c>
      <c r="L173" s="9">
        <f t="shared" si="32"/>
        <v>-53.999999999999204</v>
      </c>
      <c r="M173" s="10">
        <f t="shared" si="33"/>
        <v>-3385280.6874797549</v>
      </c>
      <c r="N173" s="4">
        <f t="shared" si="34"/>
        <v>304811128.23121536</v>
      </c>
      <c r="O173" s="5"/>
      <c r="P173" t="s">
        <v>160</v>
      </c>
      <c r="Q173" s="71">
        <f>N173-N165</f>
        <v>133194443.38329858</v>
      </c>
      <c r="S173">
        <f t="shared" si="23"/>
        <v>-1.0300000000000011</v>
      </c>
    </row>
    <row r="174" spans="1:19" x14ac:dyDescent="0.15">
      <c r="A174" s="60">
        <v>151</v>
      </c>
      <c r="B174" s="60" t="s">
        <v>119</v>
      </c>
      <c r="C174" s="3">
        <f>IFERROR(ABS(N173*$L$2/(E174-F174)/10000),"")</f>
        <v>856.21103435734608</v>
      </c>
      <c r="D174" s="51">
        <v>42213</v>
      </c>
      <c r="E174" s="60">
        <v>193.23</v>
      </c>
      <c r="F174" s="60">
        <v>191.45</v>
      </c>
      <c r="G174" s="51" t="s">
        <v>171</v>
      </c>
      <c r="H174" s="60"/>
      <c r="I174" s="60"/>
      <c r="J174" s="8" t="str">
        <f t="shared" si="30"/>
        <v/>
      </c>
      <c r="K174" s="8"/>
      <c r="L174" s="9" t="str">
        <f t="shared" si="32"/>
        <v/>
      </c>
      <c r="M174" s="10"/>
      <c r="N174" s="4">
        <f t="shared" si="34"/>
        <v>304811128.23121536</v>
      </c>
      <c r="O174" s="5"/>
    </row>
    <row r="175" spans="1:19" x14ac:dyDescent="0.15">
      <c r="A175" s="60"/>
      <c r="C175" s="3"/>
      <c r="E175" s="60"/>
      <c r="F175" s="60"/>
      <c r="H175" s="60"/>
      <c r="I175" s="60"/>
      <c r="J175" s="8"/>
      <c r="K175" s="8"/>
      <c r="L175" s="9"/>
      <c r="M175" s="10"/>
      <c r="N175" s="4"/>
      <c r="O175" s="5"/>
    </row>
    <row r="176" spans="1:19" x14ac:dyDescent="0.15">
      <c r="A176" s="60"/>
      <c r="C176" s="3"/>
      <c r="E176" s="60"/>
      <c r="F176" s="60"/>
      <c r="H176" s="60"/>
      <c r="I176" s="60"/>
      <c r="J176" s="8"/>
      <c r="K176" s="8"/>
      <c r="L176" s="9"/>
      <c r="M176" s="10"/>
      <c r="N176" s="4"/>
      <c r="O176" s="5"/>
    </row>
    <row r="177" spans="1:15" x14ac:dyDescent="0.15">
      <c r="A177" s="60"/>
      <c r="C177" s="3"/>
      <c r="E177" s="60"/>
      <c r="F177" s="60"/>
      <c r="H177" s="60"/>
      <c r="I177" s="60"/>
      <c r="J177" s="8"/>
      <c r="K177" s="8"/>
      <c r="L177" s="9"/>
      <c r="M177" s="10"/>
      <c r="N177" s="4"/>
      <c r="O177" s="5"/>
    </row>
    <row r="178" spans="1:15" x14ac:dyDescent="0.15">
      <c r="A178" s="60"/>
      <c r="C178" s="3"/>
      <c r="E178" s="60"/>
      <c r="F178" s="60"/>
      <c r="H178" s="60"/>
      <c r="I178" s="60"/>
      <c r="J178" s="8"/>
      <c r="K178" s="8"/>
      <c r="L178" s="9"/>
      <c r="M178" s="10"/>
      <c r="N178" s="4"/>
      <c r="O178" s="5"/>
    </row>
    <row r="179" spans="1:15" x14ac:dyDescent="0.15">
      <c r="A179" s="60"/>
      <c r="C179" s="3"/>
      <c r="E179" s="60"/>
      <c r="F179" s="60"/>
      <c r="H179" s="60"/>
      <c r="I179" s="60"/>
      <c r="J179" s="8"/>
      <c r="K179" s="8"/>
      <c r="L179" s="9"/>
      <c r="M179" s="10"/>
      <c r="N179" s="4"/>
      <c r="O179" s="5"/>
    </row>
    <row r="180" spans="1:15" x14ac:dyDescent="0.15">
      <c r="A180" s="60"/>
      <c r="C180" s="3"/>
      <c r="E180" s="60"/>
      <c r="F180" s="60"/>
      <c r="H180" s="60"/>
      <c r="I180" s="60"/>
      <c r="J180" s="8"/>
      <c r="K180" s="8"/>
      <c r="L180" s="9"/>
      <c r="M180" s="10"/>
      <c r="N180" s="4"/>
      <c r="O180" s="5"/>
    </row>
    <row r="181" spans="1:15" x14ac:dyDescent="0.15">
      <c r="A181" s="60"/>
      <c r="C181" s="3"/>
      <c r="E181" s="60"/>
      <c r="F181" s="60"/>
      <c r="H181" s="60"/>
      <c r="I181" s="60"/>
      <c r="J181" s="8"/>
      <c r="K181" s="8"/>
      <c r="L181" s="9"/>
      <c r="M181" s="10"/>
      <c r="N181" s="4"/>
      <c r="O181" s="5"/>
    </row>
    <row r="182" spans="1:15" x14ac:dyDescent="0.15">
      <c r="A182" s="60"/>
      <c r="C182" s="3"/>
      <c r="E182" s="60"/>
      <c r="F182" s="60"/>
      <c r="H182" s="60"/>
      <c r="I182" s="60"/>
      <c r="J182" s="8"/>
      <c r="K182" s="8"/>
      <c r="L182" s="9"/>
      <c r="M182" s="10"/>
      <c r="N182" s="4"/>
      <c r="O182" s="5"/>
    </row>
    <row r="183" spans="1:15" x14ac:dyDescent="0.15">
      <c r="A183" s="60"/>
      <c r="C183" s="3"/>
      <c r="E183" s="60"/>
      <c r="F183" s="60"/>
      <c r="H183" s="60"/>
      <c r="I183" s="60"/>
      <c r="J183" s="8"/>
      <c r="K183" s="8"/>
      <c r="L183" s="9"/>
      <c r="M183" s="10"/>
      <c r="N183" s="4"/>
      <c r="O183" s="5"/>
    </row>
    <row r="184" spans="1:15" x14ac:dyDescent="0.15">
      <c r="A184" s="60"/>
      <c r="C184" s="3"/>
      <c r="E184" s="60"/>
      <c r="F184" s="60"/>
      <c r="H184" s="60"/>
      <c r="I184" s="60"/>
      <c r="J184" s="8"/>
      <c r="K184" s="8"/>
      <c r="L184" s="9"/>
      <c r="M184" s="10"/>
      <c r="N184" s="4"/>
      <c r="O184" s="5"/>
    </row>
    <row r="185" spans="1:15" x14ac:dyDescent="0.15">
      <c r="A185" s="60"/>
      <c r="C185" s="3"/>
      <c r="E185" s="60"/>
      <c r="F185" s="60"/>
      <c r="H185" s="60"/>
      <c r="I185" s="60"/>
      <c r="J185" s="8"/>
      <c r="K185" s="8"/>
      <c r="L185" s="9"/>
      <c r="M185" s="10"/>
      <c r="N185" s="4"/>
      <c r="O185" s="5"/>
    </row>
    <row r="186" spans="1:15" x14ac:dyDescent="0.15">
      <c r="A186" s="60"/>
      <c r="C186" s="3"/>
      <c r="E186" s="60"/>
      <c r="F186" s="60"/>
      <c r="H186" s="60"/>
      <c r="I186" s="60"/>
      <c r="J186" s="8"/>
      <c r="K186" s="8"/>
      <c r="L186" s="9"/>
      <c r="M186" s="10"/>
      <c r="N186" s="4"/>
      <c r="O186" s="5"/>
    </row>
    <row r="187" spans="1:15" x14ac:dyDescent="0.15">
      <c r="A187" s="60"/>
      <c r="C187" s="3"/>
      <c r="E187" s="60"/>
      <c r="F187" s="60"/>
      <c r="H187" s="60"/>
      <c r="I187" s="60"/>
      <c r="J187" s="8"/>
      <c r="K187" s="8"/>
      <c r="L187" s="9"/>
      <c r="M187" s="10"/>
      <c r="N187" s="4"/>
      <c r="O187" s="5"/>
    </row>
    <row r="188" spans="1:15" x14ac:dyDescent="0.15">
      <c r="A188" s="60"/>
      <c r="C188" s="3"/>
      <c r="E188" s="60"/>
      <c r="F188" s="60"/>
      <c r="H188" s="60"/>
      <c r="I188" s="60"/>
      <c r="J188" s="8"/>
      <c r="K188" s="8"/>
      <c r="L188" s="9"/>
      <c r="M188" s="10"/>
      <c r="N188" s="4"/>
      <c r="O188" s="5"/>
    </row>
    <row r="189" spans="1:15" x14ac:dyDescent="0.15">
      <c r="A189" s="60"/>
      <c r="C189" s="3"/>
      <c r="E189" s="60"/>
      <c r="F189" s="60"/>
      <c r="H189" s="60"/>
      <c r="I189" s="60"/>
      <c r="J189" s="8"/>
      <c r="K189" s="8"/>
      <c r="L189" s="9"/>
      <c r="M189" s="10"/>
      <c r="N189" s="4"/>
      <c r="O189" s="5"/>
    </row>
    <row r="190" spans="1:15" x14ac:dyDescent="0.15">
      <c r="A190" s="60"/>
      <c r="C190" s="3"/>
      <c r="E190" s="60"/>
      <c r="F190" s="60"/>
      <c r="H190" s="60"/>
      <c r="I190" s="60"/>
      <c r="J190" s="8"/>
      <c r="K190" s="8"/>
      <c r="L190" s="9"/>
      <c r="M190" s="10"/>
      <c r="N190" s="4"/>
      <c r="O190" s="5"/>
    </row>
    <row r="191" spans="1:15" x14ac:dyDescent="0.15">
      <c r="A191" s="60"/>
      <c r="C191" s="3"/>
      <c r="E191" s="60"/>
      <c r="F191" s="60"/>
      <c r="H191" s="60"/>
      <c r="I191" s="60"/>
      <c r="J191" s="8"/>
      <c r="K191" s="8"/>
      <c r="L191" s="9"/>
      <c r="M191" s="10"/>
      <c r="N191" s="4"/>
      <c r="O191" s="5"/>
    </row>
    <row r="192" spans="1:15" x14ac:dyDescent="0.15">
      <c r="A192" s="60"/>
      <c r="C192" s="3"/>
      <c r="E192" s="60"/>
      <c r="F192" s="60"/>
      <c r="H192" s="60"/>
      <c r="I192" s="60"/>
      <c r="J192" s="8"/>
      <c r="K192" s="8"/>
      <c r="L192" s="9"/>
      <c r="M192" s="10"/>
      <c r="N192" s="4"/>
      <c r="O192" s="5"/>
    </row>
    <row r="193" spans="1:15" x14ac:dyDescent="0.15">
      <c r="A193" s="60"/>
      <c r="C193" s="3"/>
      <c r="E193" s="60"/>
      <c r="F193" s="60"/>
      <c r="H193" s="60"/>
      <c r="I193" s="60"/>
      <c r="J193" s="8"/>
      <c r="K193" s="8"/>
      <c r="L193" s="9"/>
      <c r="M193" s="10"/>
      <c r="N193" s="4"/>
      <c r="O193" s="5"/>
    </row>
    <row r="194" spans="1:15" x14ac:dyDescent="0.15">
      <c r="A194" s="60"/>
      <c r="C194" s="3"/>
      <c r="E194" s="60"/>
      <c r="F194" s="60"/>
      <c r="H194" s="60"/>
      <c r="I194" s="60"/>
      <c r="J194" s="8"/>
      <c r="K194" s="8"/>
      <c r="L194" s="9"/>
      <c r="M194" s="10"/>
      <c r="N194" s="4"/>
      <c r="O194" s="5"/>
    </row>
    <row r="195" spans="1:15" x14ac:dyDescent="0.15">
      <c r="A195" s="60"/>
      <c r="C195" s="3"/>
      <c r="E195" s="60"/>
      <c r="F195" s="60"/>
      <c r="H195" s="60"/>
      <c r="I195" s="60"/>
      <c r="J195" s="8"/>
      <c r="K195" s="8"/>
      <c r="L195" s="9"/>
      <c r="M195" s="10"/>
      <c r="N195" s="4"/>
      <c r="O195" s="5"/>
    </row>
    <row r="196" spans="1:15" x14ac:dyDescent="0.15">
      <c r="A196" s="60"/>
      <c r="C196" s="3"/>
      <c r="E196" s="60"/>
      <c r="F196" s="60"/>
      <c r="H196" s="60"/>
      <c r="I196" s="60"/>
      <c r="J196" s="8"/>
      <c r="K196" s="8"/>
      <c r="L196" s="9"/>
      <c r="M196" s="10"/>
      <c r="N196" s="4"/>
      <c r="O196" s="5"/>
    </row>
    <row r="197" spans="1:15" x14ac:dyDescent="0.15">
      <c r="A197" s="60"/>
      <c r="C197" s="3"/>
      <c r="E197" s="60"/>
      <c r="F197" s="60"/>
      <c r="H197" s="60"/>
      <c r="I197" s="60"/>
      <c r="J197" s="8"/>
      <c r="K197" s="8"/>
      <c r="L197" s="9"/>
      <c r="M197" s="10"/>
      <c r="N197" s="4"/>
      <c r="O197" s="5"/>
    </row>
    <row r="198" spans="1:15" x14ac:dyDescent="0.15">
      <c r="A198" s="60"/>
      <c r="C198" s="3"/>
      <c r="E198" s="60"/>
      <c r="F198" s="60"/>
      <c r="H198" s="60"/>
      <c r="I198" s="60"/>
      <c r="J198" s="8"/>
      <c r="K198" s="8"/>
      <c r="L198" s="9"/>
      <c r="M198" s="10"/>
      <c r="N198" s="4"/>
      <c r="O198" s="5"/>
    </row>
    <row r="199" spans="1:15" x14ac:dyDescent="0.15">
      <c r="A199" s="60"/>
      <c r="C199" s="3"/>
      <c r="E199" s="60"/>
      <c r="F199" s="60"/>
      <c r="H199" s="60"/>
      <c r="I199" s="60"/>
      <c r="J199" s="8"/>
      <c r="K199" s="8"/>
      <c r="L199" s="9"/>
      <c r="M199" s="10"/>
      <c r="N199" s="4"/>
      <c r="O199" s="5"/>
    </row>
    <row r="200" spans="1:15" x14ac:dyDescent="0.15">
      <c r="A200" s="60"/>
      <c r="C200" s="3"/>
      <c r="E200" s="60"/>
      <c r="F200" s="60"/>
      <c r="H200" s="60"/>
      <c r="I200" s="60"/>
      <c r="J200" s="8"/>
      <c r="K200" s="8"/>
      <c r="L200" s="9"/>
      <c r="M200" s="10"/>
      <c r="N200" s="4"/>
      <c r="O200" s="5"/>
    </row>
    <row r="201" spans="1:15" x14ac:dyDescent="0.15">
      <c r="A201" s="60"/>
      <c r="C201" s="3"/>
      <c r="D201" s="59"/>
      <c r="E201" s="60"/>
      <c r="F201" s="60"/>
      <c r="H201" s="60"/>
      <c r="I201" s="60"/>
      <c r="J201" s="8"/>
      <c r="K201" s="8"/>
      <c r="L201" s="9"/>
      <c r="M201" s="10"/>
      <c r="N201" s="4"/>
      <c r="O201" s="5"/>
    </row>
    <row r="202" spans="1:15" x14ac:dyDescent="0.15">
      <c r="A202" s="60"/>
      <c r="C202" s="3"/>
      <c r="E202" s="60"/>
      <c r="F202" s="60"/>
      <c r="H202" s="60"/>
      <c r="I202" s="60"/>
      <c r="J202" s="8"/>
      <c r="K202" s="8"/>
      <c r="L202" s="9"/>
      <c r="M202" s="10"/>
      <c r="N202" s="4"/>
      <c r="O202" s="5"/>
    </row>
    <row r="203" spans="1:15" x14ac:dyDescent="0.15">
      <c r="A203" s="60"/>
      <c r="C203" s="3"/>
      <c r="E203" s="60"/>
      <c r="F203" s="60"/>
      <c r="H203" s="60"/>
      <c r="I203" s="60"/>
      <c r="J203" s="8"/>
      <c r="K203" s="8"/>
      <c r="L203" s="9"/>
      <c r="M203" s="10"/>
      <c r="N203" s="4"/>
      <c r="O203" s="5"/>
    </row>
    <row r="204" spans="1:15" x14ac:dyDescent="0.15">
      <c r="A204" s="60"/>
      <c r="C204" s="3"/>
      <c r="E204" s="60"/>
      <c r="F204" s="60"/>
      <c r="H204" s="60"/>
      <c r="I204" s="60"/>
      <c r="J204" s="8"/>
      <c r="K204" s="8"/>
      <c r="L204" s="9"/>
      <c r="M204" s="10"/>
      <c r="N204" s="4"/>
      <c r="O204" s="5"/>
    </row>
    <row r="205" spans="1:15" x14ac:dyDescent="0.15">
      <c r="A205" s="60"/>
      <c r="C205" s="3"/>
      <c r="E205" s="60"/>
      <c r="F205" s="60"/>
      <c r="H205" s="60"/>
      <c r="I205" s="60"/>
      <c r="J205" s="8"/>
      <c r="K205" s="8"/>
      <c r="L205" s="9"/>
      <c r="M205" s="10"/>
      <c r="N205" s="4"/>
      <c r="O205" s="5"/>
    </row>
    <row r="206" spans="1:15" x14ac:dyDescent="0.15">
      <c r="A206" s="60"/>
      <c r="C206" s="3"/>
      <c r="E206" s="60"/>
      <c r="F206" s="60"/>
      <c r="H206" s="60"/>
      <c r="I206" s="60"/>
      <c r="J206" s="8"/>
      <c r="K206" s="8"/>
      <c r="L206" s="9"/>
      <c r="M206" s="10"/>
      <c r="N206" s="4"/>
      <c r="O206" s="5"/>
    </row>
    <row r="207" spans="1:15" x14ac:dyDescent="0.15">
      <c r="A207" s="60"/>
      <c r="C207" s="3"/>
      <c r="E207" s="60"/>
      <c r="F207" s="60"/>
      <c r="H207" s="60"/>
      <c r="I207" s="60"/>
      <c r="J207" s="8"/>
      <c r="K207" s="8"/>
      <c r="L207" s="9"/>
      <c r="M207" s="10"/>
      <c r="N207" s="4"/>
      <c r="O207" s="5"/>
    </row>
    <row r="208" spans="1:15" x14ac:dyDescent="0.15">
      <c r="A208" s="60"/>
      <c r="C208" s="3"/>
      <c r="E208" s="60"/>
      <c r="F208" s="60"/>
      <c r="H208" s="60"/>
      <c r="I208" s="60"/>
      <c r="J208" s="8"/>
      <c r="K208" s="8"/>
      <c r="L208" s="9"/>
      <c r="M208" s="10"/>
      <c r="N208" s="4"/>
      <c r="O208" s="5"/>
    </row>
    <row r="209" spans="1:15" x14ac:dyDescent="0.15">
      <c r="A209" s="60"/>
      <c r="C209" s="3"/>
      <c r="E209" s="60"/>
      <c r="F209" s="60"/>
      <c r="H209" s="60"/>
      <c r="I209" s="60"/>
      <c r="J209" s="8"/>
      <c r="K209" s="8"/>
      <c r="L209" s="9"/>
      <c r="M209" s="10"/>
      <c r="N209" s="4"/>
      <c r="O209" s="5"/>
    </row>
    <row r="210" spans="1:15" x14ac:dyDescent="0.15">
      <c r="A210" s="60"/>
      <c r="C210" s="3"/>
      <c r="E210" s="60"/>
      <c r="F210" s="60"/>
      <c r="H210" s="60"/>
      <c r="I210" s="60"/>
      <c r="J210" s="8"/>
      <c r="K210" s="8"/>
      <c r="L210" s="9"/>
      <c r="M210" s="10"/>
      <c r="N210" s="4"/>
      <c r="O210" s="5"/>
    </row>
    <row r="211" spans="1:15" x14ac:dyDescent="0.15">
      <c r="A211" s="60"/>
      <c r="C211" s="3"/>
      <c r="E211" s="60"/>
      <c r="F211" s="60"/>
      <c r="H211" s="60"/>
      <c r="I211" s="60"/>
      <c r="J211" s="8"/>
      <c r="K211" s="8"/>
      <c r="L211" s="9"/>
      <c r="M211" s="10"/>
      <c r="N211" s="4"/>
      <c r="O211" s="5"/>
    </row>
    <row r="212" spans="1:15" x14ac:dyDescent="0.15">
      <c r="A212" s="60"/>
      <c r="C212" s="3"/>
      <c r="E212" s="60"/>
      <c r="F212" s="60"/>
      <c r="H212" s="60"/>
      <c r="I212" s="60"/>
      <c r="J212" s="8"/>
      <c r="K212" s="8"/>
      <c r="L212" s="9"/>
      <c r="M212" s="10"/>
      <c r="N212" s="4"/>
      <c r="O212" s="5"/>
    </row>
    <row r="213" spans="1:15" x14ac:dyDescent="0.15">
      <c r="A213" s="60"/>
      <c r="C213" s="3"/>
      <c r="E213" s="60"/>
      <c r="F213" s="60"/>
      <c r="H213" s="60"/>
      <c r="I213" s="60"/>
      <c r="J213" s="8"/>
      <c r="K213" s="8"/>
      <c r="L213" s="9"/>
      <c r="M213" s="10"/>
      <c r="N213" s="4"/>
      <c r="O213" s="5"/>
    </row>
    <row r="214" spans="1:15" x14ac:dyDescent="0.15">
      <c r="A214" s="60"/>
      <c r="C214" s="3"/>
      <c r="E214" s="60"/>
      <c r="F214" s="60"/>
      <c r="H214" s="60"/>
      <c r="I214" s="60"/>
      <c r="J214" s="8"/>
      <c r="K214" s="8"/>
      <c r="L214" s="9"/>
      <c r="M214" s="10"/>
      <c r="N214" s="4"/>
      <c r="O214" s="5"/>
    </row>
    <row r="215" spans="1:15" x14ac:dyDescent="0.15">
      <c r="A215" s="60"/>
      <c r="C215" s="3"/>
      <c r="E215" s="60"/>
      <c r="F215" s="60"/>
      <c r="H215" s="60"/>
      <c r="I215" s="60"/>
      <c r="J215" s="8"/>
      <c r="K215" s="8"/>
      <c r="L215" s="9"/>
      <c r="M215" s="10"/>
      <c r="N215" s="4"/>
      <c r="O215" s="5"/>
    </row>
    <row r="216" spans="1:15" x14ac:dyDescent="0.15">
      <c r="A216" s="60"/>
      <c r="C216" s="3"/>
      <c r="E216" s="60"/>
      <c r="F216" s="60"/>
      <c r="H216" s="60"/>
      <c r="I216" s="60"/>
      <c r="J216" s="8"/>
      <c r="K216" s="8"/>
      <c r="L216" s="9"/>
      <c r="M216" s="10"/>
      <c r="N216" s="4"/>
      <c r="O216" s="5"/>
    </row>
    <row r="217" spans="1:15" x14ac:dyDescent="0.15">
      <c r="A217" s="60"/>
      <c r="C217" s="3"/>
      <c r="E217" s="60"/>
      <c r="F217" s="60"/>
      <c r="H217" s="60"/>
      <c r="I217" s="60"/>
      <c r="J217" s="8"/>
      <c r="K217" s="8"/>
      <c r="L217" s="9"/>
      <c r="M217" s="10"/>
      <c r="N217" s="4"/>
      <c r="O217" s="5"/>
    </row>
    <row r="218" spans="1:15" x14ac:dyDescent="0.15">
      <c r="A218" s="60"/>
      <c r="C218" s="3"/>
      <c r="E218" s="60"/>
      <c r="F218" s="60"/>
      <c r="H218" s="60"/>
      <c r="I218" s="60"/>
      <c r="J218" s="8"/>
      <c r="K218" s="8"/>
      <c r="L218" s="9"/>
      <c r="M218" s="10"/>
      <c r="N218" s="4"/>
      <c r="O218" s="5"/>
    </row>
    <row r="219" spans="1:15" x14ac:dyDescent="0.15">
      <c r="A219" s="60"/>
      <c r="C219" s="3"/>
      <c r="E219" s="60"/>
      <c r="F219" s="60"/>
      <c r="H219" s="60"/>
      <c r="I219" s="60"/>
      <c r="J219" s="8"/>
      <c r="K219" s="8"/>
      <c r="L219" s="9"/>
      <c r="M219" s="10"/>
      <c r="N219" s="4"/>
      <c r="O219" s="5"/>
    </row>
    <row r="220" spans="1:15" x14ac:dyDescent="0.15">
      <c r="A220" s="60"/>
      <c r="C220" s="3"/>
      <c r="E220" s="60"/>
      <c r="F220" s="60"/>
      <c r="H220" s="60"/>
      <c r="I220" s="60"/>
      <c r="J220" s="8"/>
      <c r="K220" s="8"/>
      <c r="L220" s="9"/>
      <c r="M220" s="10"/>
      <c r="N220" s="4"/>
      <c r="O220" s="5"/>
    </row>
    <row r="221" spans="1:15" x14ac:dyDescent="0.15">
      <c r="A221" s="60"/>
      <c r="C221" s="3"/>
      <c r="E221" s="60"/>
      <c r="F221" s="60"/>
      <c r="H221" s="60"/>
      <c r="I221" s="60"/>
      <c r="J221" s="8"/>
      <c r="K221" s="8"/>
      <c r="L221" s="9"/>
      <c r="M221" s="10"/>
      <c r="N221" s="4"/>
      <c r="O221" s="5"/>
    </row>
    <row r="222" spans="1:15" x14ac:dyDescent="0.15">
      <c r="A222" s="60"/>
      <c r="C222" s="3"/>
      <c r="E222" s="60"/>
      <c r="F222" s="60"/>
      <c r="H222" s="60"/>
      <c r="I222" s="60"/>
      <c r="J222" s="8"/>
      <c r="K222" s="8"/>
      <c r="L222" s="9"/>
      <c r="M222" s="10"/>
      <c r="N222" s="4"/>
      <c r="O222" s="5"/>
    </row>
    <row r="223" spans="1:15" x14ac:dyDescent="0.15">
      <c r="A223" s="60"/>
      <c r="C223" s="3"/>
      <c r="E223" s="60"/>
      <c r="F223" s="60"/>
      <c r="H223" s="60"/>
      <c r="I223" s="60"/>
      <c r="J223" s="8"/>
      <c r="K223" s="8"/>
      <c r="L223" s="9"/>
      <c r="M223" s="10"/>
      <c r="N223" s="4"/>
      <c r="O223" s="5"/>
    </row>
    <row r="224" spans="1:15" x14ac:dyDescent="0.15">
      <c r="A224" s="60"/>
      <c r="C224" s="3"/>
      <c r="E224" s="60"/>
      <c r="F224" s="60"/>
      <c r="H224" s="60"/>
      <c r="I224" s="60"/>
      <c r="J224" s="8"/>
      <c r="K224" s="8"/>
      <c r="L224" s="9"/>
      <c r="M224" s="10"/>
      <c r="N224" s="4"/>
      <c r="O224" s="5"/>
    </row>
    <row r="225" spans="1:15" x14ac:dyDescent="0.15">
      <c r="A225" s="60"/>
      <c r="C225" s="3"/>
      <c r="E225" s="60"/>
      <c r="F225" s="60"/>
      <c r="H225" s="60"/>
      <c r="I225" s="60"/>
      <c r="J225" s="8"/>
      <c r="K225" s="8"/>
      <c r="L225" s="9"/>
      <c r="M225" s="10"/>
      <c r="N225" s="4"/>
      <c r="O225" s="5"/>
    </row>
    <row r="226" spans="1:15" x14ac:dyDescent="0.15">
      <c r="A226" s="60"/>
      <c r="C226" s="3"/>
      <c r="E226" s="60"/>
      <c r="F226" s="60"/>
      <c r="H226" s="60"/>
      <c r="I226" s="60"/>
      <c r="J226" s="8"/>
      <c r="K226" s="8"/>
      <c r="L226" s="9"/>
      <c r="M226" s="10"/>
      <c r="N226" s="4"/>
      <c r="O226" s="5"/>
    </row>
    <row r="227" spans="1:15" x14ac:dyDescent="0.15">
      <c r="A227" s="60"/>
      <c r="C227" s="3"/>
      <c r="D227" s="59"/>
      <c r="E227" s="60"/>
      <c r="F227" s="60"/>
      <c r="H227" s="60"/>
      <c r="I227" s="60"/>
      <c r="J227" s="8"/>
      <c r="K227" s="8"/>
      <c r="L227" s="9"/>
      <c r="M227" s="10"/>
      <c r="N227" s="4"/>
      <c r="O227" s="5"/>
    </row>
    <row r="228" spans="1:15" x14ac:dyDescent="0.15">
      <c r="A228" s="60"/>
      <c r="C228" s="3"/>
      <c r="E228" s="60"/>
      <c r="F228" s="60"/>
      <c r="H228" s="60"/>
      <c r="I228" s="60"/>
      <c r="J228" s="8"/>
      <c r="K228" s="8"/>
      <c r="L228" s="9"/>
      <c r="M228" s="10"/>
      <c r="N228" s="4"/>
      <c r="O228" s="5"/>
    </row>
    <row r="229" spans="1:15" x14ac:dyDescent="0.15">
      <c r="A229" s="60"/>
      <c r="C229" s="3"/>
      <c r="E229" s="60"/>
      <c r="F229" s="60"/>
      <c r="H229" s="60"/>
      <c r="I229" s="60"/>
      <c r="J229" s="8"/>
      <c r="K229" s="8"/>
      <c r="L229" s="9"/>
      <c r="M229" s="10"/>
      <c r="N229" s="4"/>
      <c r="O229" s="5"/>
    </row>
    <row r="230" spans="1:15" x14ac:dyDescent="0.15">
      <c r="A230" s="60"/>
      <c r="C230" s="3"/>
      <c r="E230" s="60"/>
      <c r="F230" s="60"/>
      <c r="H230" s="60"/>
      <c r="I230" s="60"/>
      <c r="J230" s="8"/>
      <c r="K230" s="8"/>
      <c r="L230" s="9"/>
      <c r="M230" s="10"/>
      <c r="N230" s="4"/>
      <c r="O230" s="5"/>
    </row>
    <row r="231" spans="1:15" x14ac:dyDescent="0.15">
      <c r="A231" s="60"/>
      <c r="C231" s="3"/>
      <c r="E231" s="60"/>
      <c r="F231" s="60"/>
      <c r="H231" s="60"/>
      <c r="I231" s="60"/>
      <c r="J231" s="8"/>
      <c r="K231" s="8"/>
      <c r="L231" s="9"/>
      <c r="M231" s="10"/>
      <c r="N231" s="4"/>
      <c r="O231" s="5"/>
    </row>
    <row r="232" spans="1:15" x14ac:dyDescent="0.15">
      <c r="A232" s="60"/>
      <c r="C232" s="3"/>
      <c r="E232" s="60"/>
      <c r="F232" s="60"/>
      <c r="H232" s="60"/>
      <c r="I232" s="60"/>
      <c r="J232" s="8"/>
      <c r="K232" s="8"/>
      <c r="L232" s="9"/>
      <c r="M232" s="10"/>
      <c r="N232" s="4"/>
      <c r="O232" s="5"/>
    </row>
    <row r="233" spans="1:15" x14ac:dyDescent="0.15">
      <c r="A233" s="60"/>
      <c r="C233" s="3"/>
      <c r="J233" s="8"/>
      <c r="K233" s="8"/>
      <c r="L233" s="9"/>
      <c r="M233" s="10"/>
      <c r="N233" s="4"/>
      <c r="O233" s="5"/>
    </row>
    <row r="234" spans="1:15" x14ac:dyDescent="0.15">
      <c r="A234" s="60"/>
      <c r="C234" s="3"/>
      <c r="J234" s="8"/>
      <c r="K234" s="8"/>
      <c r="L234" s="9"/>
      <c r="M234" s="10"/>
      <c r="N234" s="4"/>
      <c r="O234" s="5"/>
    </row>
    <row r="235" spans="1:15" x14ac:dyDescent="0.15">
      <c r="A235" s="60"/>
      <c r="C235" s="3"/>
      <c r="J235" s="8"/>
      <c r="K235" s="8"/>
      <c r="L235" s="9"/>
      <c r="M235" s="10"/>
      <c r="N235" s="4"/>
      <c r="O235" s="5"/>
    </row>
    <row r="236" spans="1:15" x14ac:dyDescent="0.15">
      <c r="A236" s="60"/>
      <c r="C236" s="3"/>
      <c r="J236" s="8"/>
      <c r="K236" s="8"/>
      <c r="L236" s="9"/>
      <c r="M236" s="10"/>
      <c r="N236" s="4"/>
      <c r="O236" s="5"/>
    </row>
    <row r="237" spans="1:15" x14ac:dyDescent="0.15">
      <c r="A237" s="60"/>
      <c r="C237" s="3"/>
      <c r="J237" s="8"/>
      <c r="K237" s="8"/>
      <c r="L237" s="9"/>
      <c r="M237" s="10"/>
      <c r="N237" s="4"/>
      <c r="O237" s="5"/>
    </row>
    <row r="238" spans="1:15" x14ac:dyDescent="0.15">
      <c r="A238" s="60"/>
      <c r="C238" s="3"/>
      <c r="J238" s="8"/>
      <c r="K238" s="8"/>
      <c r="L238" s="9"/>
      <c r="M238" s="10"/>
      <c r="N238" s="4"/>
      <c r="O238" s="5"/>
    </row>
    <row r="239" spans="1:15" x14ac:dyDescent="0.15">
      <c r="A239" s="60"/>
      <c r="C239" s="3"/>
      <c r="J239" s="8"/>
      <c r="K239" s="8"/>
      <c r="L239" s="9"/>
      <c r="M239" s="10"/>
      <c r="N239" s="4"/>
      <c r="O239" s="5"/>
    </row>
    <row r="240" spans="1:15" x14ac:dyDescent="0.15">
      <c r="A240" s="60"/>
      <c r="C240" s="3"/>
      <c r="J240" s="8"/>
      <c r="K240" s="8"/>
      <c r="L240" s="9"/>
      <c r="M240" s="10"/>
      <c r="N240" s="4"/>
      <c r="O240" s="5"/>
    </row>
    <row r="241" spans="1:15" x14ac:dyDescent="0.15">
      <c r="A241" s="60"/>
      <c r="C241" s="3"/>
      <c r="J241" s="8"/>
      <c r="K241" s="8"/>
      <c r="L241" s="9"/>
      <c r="M241" s="10"/>
      <c r="N241" s="4"/>
      <c r="O241" s="5"/>
    </row>
    <row r="242" spans="1:15" x14ac:dyDescent="0.15">
      <c r="A242" s="60"/>
      <c r="C242" s="3"/>
      <c r="J242" s="8"/>
      <c r="K242" s="8"/>
      <c r="L242" s="9"/>
      <c r="M242" s="10"/>
      <c r="N242" s="4"/>
      <c r="O242" s="5"/>
    </row>
    <row r="243" spans="1:15" x14ac:dyDescent="0.15">
      <c r="A243" s="60"/>
      <c r="C243" s="3"/>
      <c r="J243" s="8"/>
      <c r="K243" s="8"/>
      <c r="L243" s="9"/>
      <c r="M243" s="10"/>
      <c r="N243" s="4"/>
      <c r="O243" s="5"/>
    </row>
    <row r="244" spans="1:15" x14ac:dyDescent="0.15">
      <c r="A244" s="60"/>
      <c r="C244" s="3"/>
      <c r="J244" s="8"/>
      <c r="K244" s="8"/>
      <c r="L244" s="9"/>
      <c r="M244" s="10"/>
      <c r="N244" s="4"/>
      <c r="O244" s="5"/>
    </row>
    <row r="245" spans="1:15" x14ac:dyDescent="0.15">
      <c r="A245" s="60"/>
      <c r="C245" s="3"/>
      <c r="J245" s="8"/>
      <c r="K245" s="8"/>
      <c r="L245" s="9"/>
      <c r="M245" s="10"/>
      <c r="N245" s="4"/>
      <c r="O245" s="5"/>
    </row>
    <row r="246" spans="1:15" x14ac:dyDescent="0.15">
      <c r="A246" s="60"/>
      <c r="C246" s="3"/>
      <c r="J246" s="8"/>
      <c r="K246" s="8"/>
      <c r="L246" s="9"/>
      <c r="M246" s="10"/>
      <c r="N246" s="4"/>
      <c r="O246" s="5"/>
    </row>
    <row r="247" spans="1:15" x14ac:dyDescent="0.15">
      <c r="A247" s="60"/>
      <c r="C247" s="3"/>
      <c r="J247" s="8"/>
      <c r="K247" s="8"/>
      <c r="L247" s="9"/>
      <c r="M247" s="10"/>
      <c r="N247" s="4"/>
      <c r="O247" s="5"/>
    </row>
    <row r="248" spans="1:15" x14ac:dyDescent="0.15">
      <c r="A248" s="60"/>
      <c r="C248" s="3"/>
      <c r="J248" s="8"/>
      <c r="K248" s="8"/>
      <c r="L248" s="9"/>
      <c r="M248" s="10"/>
      <c r="N248" s="4"/>
      <c r="O248" s="5"/>
    </row>
    <row r="249" spans="1:15" x14ac:dyDescent="0.15">
      <c r="A249" s="60"/>
      <c r="C249" s="3"/>
      <c r="J249" s="8"/>
      <c r="K249" s="8"/>
      <c r="L249" s="9"/>
      <c r="M249" s="10"/>
      <c r="N249" s="4"/>
      <c r="O249" s="5"/>
    </row>
    <row r="250" spans="1:15" x14ac:dyDescent="0.15">
      <c r="A250" s="60"/>
      <c r="C250" s="3"/>
      <c r="J250" s="8"/>
      <c r="K250" s="8"/>
      <c r="L250" s="9"/>
      <c r="M250" s="10"/>
      <c r="N250" s="4"/>
      <c r="O250" s="5"/>
    </row>
    <row r="251" spans="1:15" x14ac:dyDescent="0.15">
      <c r="A251" s="60"/>
      <c r="C251" s="3"/>
      <c r="J251" s="8"/>
      <c r="K251" s="8"/>
      <c r="L251" s="9"/>
      <c r="M251" s="10"/>
      <c r="N251" s="4"/>
      <c r="O251" s="5"/>
    </row>
    <row r="252" spans="1:15" x14ac:dyDescent="0.15">
      <c r="A252" s="60"/>
      <c r="C252" s="3"/>
      <c r="J252" s="8"/>
      <c r="K252" s="8"/>
      <c r="L252" s="9"/>
      <c r="M252" s="10"/>
      <c r="N252" s="4"/>
      <c r="O252" s="5"/>
    </row>
    <row r="253" spans="1:15" x14ac:dyDescent="0.15">
      <c r="A253" s="60"/>
      <c r="C253" s="3"/>
      <c r="J253" s="8"/>
      <c r="K253" s="8"/>
      <c r="L253" s="9"/>
      <c r="M253" s="10"/>
      <c r="N253" s="4"/>
      <c r="O253" s="5"/>
    </row>
    <row r="254" spans="1:15" x14ac:dyDescent="0.15">
      <c r="A254" s="60"/>
      <c r="C254" s="3"/>
      <c r="J254" s="8"/>
      <c r="K254" s="8"/>
      <c r="L254" s="9"/>
      <c r="M254" s="10"/>
      <c r="N254" s="4"/>
      <c r="O254" s="5"/>
    </row>
    <row r="255" spans="1:15" x14ac:dyDescent="0.15">
      <c r="A255" s="60"/>
      <c r="C255" s="3"/>
      <c r="J255" s="8"/>
      <c r="K255" s="8"/>
      <c r="L255" s="9"/>
      <c r="M255" s="10"/>
      <c r="N255" s="4"/>
      <c r="O255" s="5"/>
    </row>
    <row r="256" spans="1:15" x14ac:dyDescent="0.15">
      <c r="A256" s="60"/>
      <c r="C256" s="3"/>
      <c r="J256" s="8"/>
      <c r="K256" s="8"/>
      <c r="L256" s="9"/>
      <c r="M256" s="10"/>
      <c r="N256" s="4"/>
      <c r="O256" s="5"/>
    </row>
    <row r="257" spans="1:15" x14ac:dyDescent="0.15">
      <c r="A257" s="60"/>
      <c r="C257" s="3"/>
      <c r="J257" s="8"/>
      <c r="K257" s="8"/>
      <c r="L257" s="9"/>
      <c r="M257" s="10"/>
      <c r="N257" s="4"/>
      <c r="O257" s="5"/>
    </row>
    <row r="258" spans="1:15" x14ac:dyDescent="0.15">
      <c r="A258" s="60"/>
      <c r="C258" s="3"/>
      <c r="J258" s="8"/>
      <c r="K258" s="8"/>
      <c r="L258" s="9"/>
      <c r="M258" s="10"/>
      <c r="N258" s="4"/>
      <c r="O258" s="5"/>
    </row>
    <row r="259" spans="1:15" x14ac:dyDescent="0.15">
      <c r="A259" s="60"/>
      <c r="C259" s="3"/>
      <c r="J259" s="8"/>
      <c r="K259" s="8"/>
      <c r="L259" s="9"/>
      <c r="M259" s="10"/>
      <c r="N259" s="4"/>
      <c r="O259" s="5"/>
    </row>
    <row r="260" spans="1:15" x14ac:dyDescent="0.15">
      <c r="A260" s="60"/>
      <c r="C260" s="3"/>
      <c r="J260" s="8"/>
      <c r="K260" s="8"/>
      <c r="L260" s="9"/>
      <c r="M260" s="10"/>
      <c r="N260" s="4"/>
      <c r="O260" s="5"/>
    </row>
    <row r="261" spans="1:15" x14ac:dyDescent="0.15">
      <c r="A261" s="60"/>
      <c r="C261" s="3"/>
      <c r="J261" s="8"/>
      <c r="K261" s="8"/>
      <c r="L261" s="9"/>
      <c r="M261" s="10"/>
      <c r="N261" s="4"/>
      <c r="O261" s="5"/>
    </row>
    <row r="262" spans="1:15" x14ac:dyDescent="0.15">
      <c r="A262" s="60"/>
      <c r="C262" s="3"/>
      <c r="J262" s="8"/>
      <c r="K262" s="8"/>
      <c r="L262" s="9"/>
      <c r="M262" s="10"/>
      <c r="N262" s="4"/>
      <c r="O262" s="5"/>
    </row>
    <row r="263" spans="1:15" x14ac:dyDescent="0.15">
      <c r="A263" s="60"/>
      <c r="C263" s="3"/>
      <c r="J263" s="8"/>
      <c r="K263" s="8"/>
      <c r="L263" s="9"/>
      <c r="M263" s="10"/>
      <c r="N263" s="4"/>
      <c r="O263" s="5"/>
    </row>
    <row r="264" spans="1:15" x14ac:dyDescent="0.15">
      <c r="A264" s="60"/>
      <c r="C264" s="3"/>
      <c r="J264" s="8"/>
      <c r="K264" s="8"/>
      <c r="L264" s="9"/>
      <c r="M264" s="10"/>
      <c r="N264" s="4"/>
      <c r="O264" s="5"/>
    </row>
    <row r="265" spans="1:15" x14ac:dyDescent="0.15">
      <c r="A265" s="60"/>
      <c r="C265" s="3"/>
      <c r="J265" s="8"/>
      <c r="K265" s="8"/>
      <c r="L265" s="9"/>
      <c r="M265" s="10"/>
      <c r="N265" s="4"/>
      <c r="O265" s="5"/>
    </row>
    <row r="266" spans="1:15" x14ac:dyDescent="0.15">
      <c r="A266" s="60"/>
      <c r="C266" s="3"/>
      <c r="J266" s="8"/>
      <c r="K266" s="8"/>
      <c r="L266" s="9"/>
      <c r="M266" s="10"/>
      <c r="N266" s="4"/>
      <c r="O266" s="5"/>
    </row>
    <row r="267" spans="1:15" x14ac:dyDescent="0.15">
      <c r="A267" s="60"/>
      <c r="C267" s="3"/>
      <c r="J267" s="8"/>
      <c r="K267" s="8"/>
      <c r="L267" s="9"/>
      <c r="M267" s="10"/>
      <c r="N267" s="4"/>
      <c r="O267" s="5"/>
    </row>
    <row r="268" spans="1:15" x14ac:dyDescent="0.15">
      <c r="A268" s="60"/>
      <c r="C268" s="3"/>
      <c r="J268" s="8"/>
      <c r="K268" s="8"/>
      <c r="L268" s="9"/>
      <c r="M268" s="10"/>
      <c r="N268" s="4"/>
      <c r="O268" s="5"/>
    </row>
    <row r="269" spans="1:15" x14ac:dyDescent="0.15">
      <c r="A269" s="60"/>
      <c r="C269" s="3"/>
      <c r="J269" s="8"/>
      <c r="K269" s="8"/>
      <c r="L269" s="9"/>
      <c r="M269" s="10"/>
      <c r="N269" s="4"/>
      <c r="O269" s="5"/>
    </row>
    <row r="270" spans="1:15" x14ac:dyDescent="0.15">
      <c r="A270" s="60"/>
      <c r="C270" s="3"/>
      <c r="J270" s="8"/>
      <c r="K270" s="8"/>
      <c r="L270" s="9"/>
      <c r="M270" s="10"/>
      <c r="N270" s="4"/>
      <c r="O270" s="5"/>
    </row>
    <row r="271" spans="1:15" x14ac:dyDescent="0.15">
      <c r="A271" s="60"/>
      <c r="C271" s="3"/>
      <c r="J271" s="8"/>
      <c r="K271" s="8"/>
      <c r="L271" s="9"/>
      <c r="M271" s="10"/>
      <c r="N271" s="4"/>
      <c r="O271" s="5"/>
    </row>
    <row r="272" spans="1:15" x14ac:dyDescent="0.15">
      <c r="A272" s="60"/>
      <c r="C272" s="3"/>
      <c r="J272" s="8"/>
      <c r="K272" s="8"/>
      <c r="L272" s="9"/>
      <c r="M272" s="10"/>
      <c r="N272" s="4"/>
      <c r="O272" s="5"/>
    </row>
    <row r="273" spans="1:15" x14ac:dyDescent="0.15">
      <c r="A273" s="60"/>
      <c r="C273" s="3"/>
      <c r="J273" s="8"/>
      <c r="K273" s="8"/>
      <c r="L273" s="9"/>
      <c r="M273" s="10"/>
      <c r="N273" s="4"/>
      <c r="O273" s="5"/>
    </row>
    <row r="274" spans="1:15" x14ac:dyDescent="0.15">
      <c r="A274" s="60"/>
      <c r="C274" s="3"/>
      <c r="J274" s="8"/>
      <c r="K274" s="8"/>
      <c r="L274" s="9"/>
      <c r="M274" s="10"/>
      <c r="N274" s="4"/>
      <c r="O274" s="5"/>
    </row>
    <row r="275" spans="1:15" x14ac:dyDescent="0.15">
      <c r="A275" s="60"/>
      <c r="C275" s="3"/>
      <c r="J275" s="8"/>
      <c r="K275" s="8"/>
      <c r="L275" s="9"/>
      <c r="M275" s="10"/>
      <c r="N275" s="4"/>
      <c r="O275" s="5"/>
    </row>
    <row r="276" spans="1:15" x14ac:dyDescent="0.15">
      <c r="A276" s="60"/>
      <c r="C276" s="3"/>
      <c r="J276" s="8"/>
      <c r="K276" s="8"/>
      <c r="L276" s="9"/>
      <c r="M276" s="10"/>
      <c r="N276" s="4"/>
      <c r="O276" s="5"/>
    </row>
    <row r="277" spans="1:15" x14ac:dyDescent="0.15">
      <c r="A277" s="60"/>
      <c r="C277" s="3"/>
      <c r="J277" s="8"/>
      <c r="K277" s="8"/>
      <c r="L277" s="9"/>
      <c r="M277" s="10"/>
      <c r="N277" s="4"/>
      <c r="O277" s="5"/>
    </row>
    <row r="278" spans="1:15" x14ac:dyDescent="0.15">
      <c r="A278" s="60"/>
      <c r="C278" s="3"/>
      <c r="J278" s="8"/>
      <c r="K278" s="8"/>
      <c r="L278" s="9"/>
      <c r="M278" s="10"/>
      <c r="N278" s="4"/>
      <c r="O278" s="5"/>
    </row>
    <row r="279" spans="1:15" x14ac:dyDescent="0.15">
      <c r="A279" s="60"/>
      <c r="C279" s="3"/>
      <c r="J279" s="8"/>
      <c r="K279" s="8"/>
      <c r="L279" s="9"/>
      <c r="M279" s="10"/>
      <c r="N279" s="4"/>
      <c r="O279" s="5"/>
    </row>
    <row r="280" spans="1:15" x14ac:dyDescent="0.15">
      <c r="A280" s="60"/>
      <c r="C280" s="3"/>
      <c r="J280" s="8"/>
      <c r="K280" s="8"/>
      <c r="L280" s="9"/>
      <c r="M280" s="10"/>
      <c r="N280" s="4"/>
      <c r="O280" s="5"/>
    </row>
    <row r="281" spans="1:15" x14ac:dyDescent="0.15">
      <c r="A281" s="60"/>
      <c r="C281" s="3"/>
      <c r="J281" s="8"/>
      <c r="K281" s="8"/>
      <c r="L281" s="9"/>
      <c r="M281" s="10"/>
      <c r="N281" s="4"/>
      <c r="O281" s="5"/>
    </row>
    <row r="282" spans="1:15" x14ac:dyDescent="0.15">
      <c r="A282" s="60"/>
      <c r="C282" s="3"/>
      <c r="J282" s="8"/>
      <c r="K282" s="8"/>
      <c r="L282" s="9"/>
      <c r="M282" s="10"/>
      <c r="N282" s="4"/>
      <c r="O282" s="5"/>
    </row>
    <row r="283" spans="1:15" x14ac:dyDescent="0.15">
      <c r="A283" s="60"/>
      <c r="C283" s="3"/>
      <c r="J283" s="8"/>
      <c r="K283" s="8"/>
      <c r="L283" s="9"/>
      <c r="M283" s="10"/>
      <c r="N283" s="4"/>
      <c r="O283" s="5"/>
    </row>
    <row r="284" spans="1:15" x14ac:dyDescent="0.15">
      <c r="A284" s="60"/>
      <c r="C284" s="3"/>
      <c r="J284" s="8"/>
      <c r="K284" s="8"/>
      <c r="L284" s="9"/>
      <c r="M284" s="10"/>
      <c r="N284" s="4"/>
      <c r="O284" s="5"/>
    </row>
    <row r="285" spans="1:15" x14ac:dyDescent="0.15">
      <c r="A285" s="60"/>
      <c r="C285" s="3"/>
      <c r="J285" s="8"/>
      <c r="K285" s="8"/>
      <c r="L285" s="9"/>
      <c r="M285" s="10"/>
      <c r="N285" s="4"/>
      <c r="O285" s="5"/>
    </row>
    <row r="286" spans="1:15" x14ac:dyDescent="0.15">
      <c r="A286" s="60"/>
      <c r="C286" s="3"/>
      <c r="J286" s="8"/>
      <c r="K286" s="8"/>
      <c r="L286" s="9"/>
      <c r="M286" s="10"/>
      <c r="N286" s="4"/>
      <c r="O286" s="5"/>
    </row>
    <row r="287" spans="1:15" x14ac:dyDescent="0.15">
      <c r="A287" s="60"/>
      <c r="C287" s="3"/>
      <c r="J287" s="8"/>
      <c r="K287" s="8"/>
      <c r="L287" s="9"/>
      <c r="M287" s="10"/>
      <c r="N287" s="4"/>
      <c r="O287" s="5"/>
    </row>
    <row r="288" spans="1:15" x14ac:dyDescent="0.15">
      <c r="A288" s="60"/>
      <c r="C288" s="3"/>
      <c r="J288" s="8"/>
      <c r="K288" s="8"/>
      <c r="L288" s="9"/>
      <c r="M288" s="10"/>
      <c r="N288" s="4"/>
      <c r="O288" s="5"/>
    </row>
    <row r="289" spans="1:15" x14ac:dyDescent="0.15">
      <c r="A289" s="60"/>
      <c r="C289" s="3"/>
      <c r="J289" s="8"/>
      <c r="K289" s="8"/>
      <c r="L289" s="9"/>
      <c r="M289" s="10"/>
      <c r="N289" s="4"/>
      <c r="O289" s="5"/>
    </row>
    <row r="290" spans="1:15" x14ac:dyDescent="0.15">
      <c r="A290" s="60"/>
      <c r="C290" s="3"/>
      <c r="J290" s="8"/>
      <c r="K290" s="8"/>
      <c r="L290" s="9"/>
      <c r="M290" s="10"/>
      <c r="N290" s="4"/>
      <c r="O290" s="5"/>
    </row>
    <row r="291" spans="1:15" x14ac:dyDescent="0.15">
      <c r="A291" s="60"/>
      <c r="C291" s="3"/>
      <c r="J291" s="8"/>
      <c r="K291" s="8"/>
      <c r="L291" s="9"/>
      <c r="M291" s="10"/>
      <c r="N291" s="4"/>
      <c r="O291" s="5"/>
    </row>
    <row r="292" spans="1:15" x14ac:dyDescent="0.15">
      <c r="A292" s="60"/>
      <c r="C292" s="3"/>
      <c r="J292" s="8"/>
      <c r="K292" s="8"/>
      <c r="L292" s="9"/>
      <c r="M292" s="10"/>
      <c r="N292" s="4"/>
      <c r="O292" s="5"/>
    </row>
    <row r="293" spans="1:15" x14ac:dyDescent="0.15">
      <c r="A293" s="60"/>
      <c r="C293" s="3"/>
      <c r="J293" s="8"/>
      <c r="K293" s="8"/>
      <c r="L293" s="9"/>
      <c r="M293" s="10"/>
      <c r="N293" s="4"/>
      <c r="O293" s="5"/>
    </row>
    <row r="294" spans="1:15" x14ac:dyDescent="0.15">
      <c r="A294" s="60"/>
      <c r="C294" s="3"/>
      <c r="J294" s="8"/>
      <c r="K294" s="8"/>
      <c r="L294" s="9"/>
      <c r="M294" s="10"/>
      <c r="N294" s="4"/>
      <c r="O294" s="5"/>
    </row>
    <row r="295" spans="1:15" x14ac:dyDescent="0.15">
      <c r="A295" s="60"/>
      <c r="C295" s="3"/>
      <c r="J295" s="8"/>
      <c r="K295" s="8"/>
      <c r="L295" s="9"/>
      <c r="M295" s="10"/>
      <c r="N295" s="4"/>
      <c r="O295" s="5"/>
    </row>
    <row r="296" spans="1:15" x14ac:dyDescent="0.15">
      <c r="A296" s="60"/>
      <c r="C296" s="3"/>
      <c r="J296" s="8"/>
      <c r="K296" s="8"/>
      <c r="L296" s="9"/>
      <c r="M296" s="10"/>
      <c r="N296" s="4"/>
      <c r="O296" s="5"/>
    </row>
    <row r="297" spans="1:15" x14ac:dyDescent="0.15">
      <c r="A297" s="60"/>
      <c r="C297" s="3"/>
      <c r="J297" s="8"/>
      <c r="K297" s="8"/>
      <c r="L297" s="9"/>
      <c r="M297" s="10"/>
      <c r="N297" s="4"/>
      <c r="O297" s="5"/>
    </row>
    <row r="298" spans="1:15" x14ac:dyDescent="0.15">
      <c r="A298" s="60"/>
      <c r="C298" s="3"/>
      <c r="J298" s="8"/>
      <c r="K298" s="8"/>
      <c r="L298" s="9"/>
      <c r="M298" s="10"/>
      <c r="N298" s="4"/>
      <c r="O298" s="5"/>
    </row>
    <row r="299" spans="1:15" x14ac:dyDescent="0.15">
      <c r="A299" s="60"/>
      <c r="C299" s="3"/>
      <c r="J299" s="8"/>
      <c r="K299" s="8"/>
      <c r="L299" s="9"/>
      <c r="M299" s="10"/>
      <c r="N299" s="4"/>
      <c r="O299" s="5"/>
    </row>
    <row r="300" spans="1:15" x14ac:dyDescent="0.15">
      <c r="A300" s="60"/>
      <c r="C300" s="3"/>
      <c r="J300" s="8"/>
      <c r="K300" s="8"/>
      <c r="L300" s="9"/>
      <c r="M300" s="10"/>
      <c r="N300" s="4"/>
      <c r="O300" s="5"/>
    </row>
    <row r="301" spans="1:15" x14ac:dyDescent="0.15">
      <c r="A301" s="60"/>
      <c r="C301" s="3"/>
      <c r="J301" s="8"/>
      <c r="K301" s="8"/>
      <c r="L301" s="9"/>
      <c r="M301" s="10"/>
      <c r="N301" s="4"/>
      <c r="O301" s="5"/>
    </row>
    <row r="302" spans="1:15" x14ac:dyDescent="0.15">
      <c r="A302" s="60"/>
      <c r="C302" s="3"/>
      <c r="J302" s="8"/>
      <c r="K302" s="8"/>
      <c r="L302" s="9"/>
      <c r="M302" s="10"/>
      <c r="N302" s="4"/>
      <c r="O302" s="5"/>
    </row>
    <row r="303" spans="1:15" x14ac:dyDescent="0.15">
      <c r="A303" s="60"/>
      <c r="C303" s="3"/>
      <c r="J303" s="8"/>
      <c r="K303" s="8"/>
      <c r="L303" s="9"/>
      <c r="M303" s="10"/>
      <c r="N303" s="4"/>
      <c r="O303" s="5"/>
    </row>
    <row r="304" spans="1:15" x14ac:dyDescent="0.15">
      <c r="A304" s="60"/>
      <c r="C304" s="3"/>
      <c r="J304" s="8"/>
      <c r="K304" s="8"/>
      <c r="L304" s="9"/>
      <c r="M304" s="10"/>
      <c r="N304" s="4"/>
      <c r="O304" s="5"/>
    </row>
    <row r="305" spans="1:15" x14ac:dyDescent="0.15">
      <c r="A305" s="60"/>
      <c r="C305" s="3"/>
      <c r="J305" s="8"/>
      <c r="K305" s="8"/>
      <c r="L305" s="9"/>
      <c r="M305" s="10"/>
      <c r="N305" s="4"/>
      <c r="O305" s="5"/>
    </row>
    <row r="306" spans="1:15" x14ac:dyDescent="0.15">
      <c r="A306" s="60"/>
      <c r="C306" s="3"/>
      <c r="J306" s="8"/>
      <c r="K306" s="8"/>
      <c r="L306" s="9"/>
      <c r="M306" s="10"/>
      <c r="N306" s="4"/>
      <c r="O306" s="5"/>
    </row>
    <row r="307" spans="1:15" x14ac:dyDescent="0.15">
      <c r="A307" s="60"/>
      <c r="C307" s="3"/>
      <c r="J307" s="8"/>
      <c r="K307" s="8"/>
      <c r="L307" s="9"/>
      <c r="M307" s="10"/>
      <c r="N307" s="4"/>
      <c r="O307" s="5"/>
    </row>
    <row r="308" spans="1:15" x14ac:dyDescent="0.15">
      <c r="A308" s="60"/>
      <c r="C308" s="3"/>
      <c r="J308" s="8"/>
      <c r="K308" s="8"/>
      <c r="L308" s="9"/>
      <c r="M308" s="10"/>
      <c r="N308" s="4"/>
      <c r="O308" s="5"/>
    </row>
    <row r="309" spans="1:15" x14ac:dyDescent="0.15">
      <c r="A309" s="60"/>
      <c r="C309" s="3"/>
      <c r="J309" s="8"/>
      <c r="K309" s="8"/>
      <c r="L309" s="9"/>
      <c r="M309" s="10"/>
      <c r="N309" s="4"/>
      <c r="O309" s="5"/>
    </row>
    <row r="310" spans="1:15" x14ac:dyDescent="0.15">
      <c r="A310" s="60"/>
      <c r="C310" s="3"/>
      <c r="J310" s="8"/>
      <c r="K310" s="8"/>
      <c r="L310" s="9"/>
      <c r="M310" s="10"/>
      <c r="N310" s="4"/>
      <c r="O310" s="5"/>
    </row>
    <row r="311" spans="1:15" x14ac:dyDescent="0.15">
      <c r="A311" s="60"/>
      <c r="C311" s="3"/>
      <c r="J311" s="8"/>
      <c r="K311" s="8"/>
      <c r="L311" s="9"/>
      <c r="M311" s="10"/>
      <c r="N311" s="4"/>
      <c r="O311" s="5"/>
    </row>
    <row r="312" spans="1:15" x14ac:dyDescent="0.15">
      <c r="A312" s="60"/>
      <c r="C312" s="3"/>
      <c r="J312" s="8"/>
      <c r="K312" s="8"/>
      <c r="L312" s="9"/>
      <c r="M312" s="10"/>
      <c r="N312" s="4"/>
      <c r="O312" s="5"/>
    </row>
    <row r="313" spans="1:15" x14ac:dyDescent="0.15">
      <c r="A313" s="60"/>
      <c r="C313" s="3"/>
      <c r="J313" s="8"/>
      <c r="K313" s="8"/>
      <c r="L313" s="9"/>
      <c r="M313" s="10"/>
      <c r="N313" s="4"/>
      <c r="O313" s="5"/>
    </row>
    <row r="314" spans="1:15" x14ac:dyDescent="0.15">
      <c r="A314" s="60"/>
      <c r="C314" s="3"/>
      <c r="J314" s="8"/>
      <c r="K314" s="8"/>
      <c r="L314" s="9"/>
      <c r="M314" s="10"/>
      <c r="N314" s="4"/>
      <c r="O314" s="5"/>
    </row>
    <row r="315" spans="1:15" x14ac:dyDescent="0.15">
      <c r="A315" s="60"/>
      <c r="C315" s="3"/>
      <c r="J315" s="8"/>
      <c r="K315" s="8"/>
      <c r="L315" s="9"/>
      <c r="M315" s="10"/>
      <c r="N315" s="4"/>
      <c r="O315" s="5"/>
    </row>
    <row r="316" spans="1:15" x14ac:dyDescent="0.15">
      <c r="A316" s="60"/>
      <c r="C316" s="3"/>
      <c r="J316" s="8"/>
      <c r="K316" s="8"/>
      <c r="L316" s="9"/>
      <c r="M316" s="10"/>
      <c r="N316" s="4"/>
      <c r="O316" s="5"/>
    </row>
    <row r="317" spans="1:15" x14ac:dyDescent="0.15">
      <c r="A317" s="60"/>
      <c r="C317" s="3"/>
      <c r="J317" s="8"/>
      <c r="K317" s="8"/>
      <c r="L317" s="9"/>
      <c r="M317" s="10"/>
      <c r="N317" s="4"/>
      <c r="O317" s="5"/>
    </row>
    <row r="318" spans="1:15" x14ac:dyDescent="0.15">
      <c r="A318" s="60"/>
      <c r="C318" s="3"/>
      <c r="J318" s="8"/>
      <c r="K318" s="8"/>
      <c r="L318" s="9"/>
      <c r="M318" s="10"/>
      <c r="N318" s="4"/>
      <c r="O318" s="5"/>
    </row>
    <row r="319" spans="1:15" x14ac:dyDescent="0.15">
      <c r="A319" s="60"/>
      <c r="C319" s="3"/>
      <c r="J319" s="8"/>
      <c r="K319" s="8"/>
      <c r="L319" s="9"/>
      <c r="M319" s="10"/>
      <c r="N319" s="4"/>
      <c r="O319" s="5"/>
    </row>
    <row r="320" spans="1:15" x14ac:dyDescent="0.15">
      <c r="A320" s="60"/>
      <c r="C320" s="3"/>
      <c r="J320" s="8"/>
      <c r="K320" s="8"/>
      <c r="L320" s="9"/>
      <c r="M320" s="10"/>
      <c r="N320" s="4"/>
      <c r="O320" s="5"/>
    </row>
    <row r="321" spans="1:15" x14ac:dyDescent="0.15">
      <c r="A321" s="60"/>
      <c r="C321" s="3"/>
      <c r="J321" s="8"/>
      <c r="K321" s="8"/>
      <c r="L321" s="9"/>
      <c r="M321" s="10"/>
      <c r="N321" s="4"/>
      <c r="O321" s="5"/>
    </row>
    <row r="322" spans="1:15" x14ac:dyDescent="0.15">
      <c r="A322" s="60"/>
      <c r="C322" s="3"/>
      <c r="J322" s="8"/>
      <c r="K322" s="8"/>
      <c r="L322" s="9"/>
      <c r="M322" s="10"/>
      <c r="N322" s="4"/>
      <c r="O322" s="5"/>
    </row>
    <row r="323" spans="1:15" x14ac:dyDescent="0.15">
      <c r="A323" s="60"/>
      <c r="C323" s="3"/>
      <c r="J323" s="8"/>
      <c r="K323" s="8"/>
      <c r="L323" s="9"/>
      <c r="M323" s="10"/>
      <c r="N323" s="4"/>
      <c r="O323" s="5"/>
    </row>
    <row r="324" spans="1:15" x14ac:dyDescent="0.15">
      <c r="A324" s="60"/>
      <c r="C324" s="3"/>
      <c r="J324" s="8"/>
      <c r="K324" s="8"/>
      <c r="L324" s="9"/>
      <c r="M324" s="10"/>
      <c r="N324" s="4"/>
      <c r="O324" s="5"/>
    </row>
    <row r="325" spans="1:15" x14ac:dyDescent="0.15">
      <c r="A325" s="60"/>
      <c r="C325" s="3"/>
      <c r="J325" s="8"/>
      <c r="K325" s="8"/>
      <c r="L325" s="9"/>
      <c r="M325" s="10"/>
      <c r="N325" s="4"/>
      <c r="O325" s="5"/>
    </row>
    <row r="326" spans="1:15" x14ac:dyDescent="0.15">
      <c r="A326" s="60"/>
      <c r="C326" s="3"/>
      <c r="J326" s="8"/>
      <c r="K326" s="8"/>
      <c r="L326" s="9"/>
      <c r="M326" s="10"/>
      <c r="N326" s="4"/>
      <c r="O326" s="5"/>
    </row>
    <row r="327" spans="1:15" x14ac:dyDescent="0.15">
      <c r="A327" s="60"/>
      <c r="C327" s="3"/>
      <c r="J327" s="8"/>
      <c r="K327" s="8"/>
      <c r="L327" s="9"/>
      <c r="M327" s="10"/>
      <c r="N327" s="4"/>
      <c r="O327" s="5"/>
    </row>
    <row r="328" spans="1:15" x14ac:dyDescent="0.15">
      <c r="A328" s="60"/>
      <c r="C328" s="3"/>
      <c r="J328" s="8"/>
      <c r="K328" s="8"/>
      <c r="L328" s="9"/>
      <c r="M328" s="10"/>
      <c r="N328" s="4"/>
      <c r="O328" s="5"/>
    </row>
    <row r="329" spans="1:15" x14ac:dyDescent="0.15">
      <c r="A329" s="60"/>
      <c r="C329" s="3"/>
      <c r="J329" s="8"/>
      <c r="K329" s="8"/>
      <c r="L329" s="9"/>
      <c r="M329" s="10"/>
      <c r="N329" s="4"/>
      <c r="O329" s="5"/>
    </row>
    <row r="330" spans="1:15" x14ac:dyDescent="0.15">
      <c r="A330" s="60"/>
      <c r="C330" s="3"/>
      <c r="J330" s="8"/>
      <c r="K330" s="8"/>
      <c r="L330" s="9"/>
      <c r="M330" s="10"/>
      <c r="N330" s="4"/>
      <c r="O330" s="5"/>
    </row>
    <row r="331" spans="1:15" x14ac:dyDescent="0.15">
      <c r="A331" s="60"/>
      <c r="C331" s="3"/>
      <c r="J331" s="8"/>
      <c r="K331" s="8"/>
      <c r="L331" s="9"/>
      <c r="M331" s="10"/>
      <c r="N331" s="4"/>
      <c r="O331" s="5"/>
    </row>
    <row r="332" spans="1:15" x14ac:dyDescent="0.15">
      <c r="A332" s="60"/>
      <c r="C332" s="3"/>
      <c r="J332" s="8"/>
      <c r="K332" s="8"/>
      <c r="L332" s="9"/>
      <c r="M332" s="10"/>
      <c r="N332" s="4"/>
      <c r="O332" s="5"/>
    </row>
  </sheetData>
  <mergeCells count="7">
    <mergeCell ref="A5:G8"/>
    <mergeCell ref="J1:K1"/>
    <mergeCell ref="L1:M1"/>
    <mergeCell ref="Q1:R1"/>
    <mergeCell ref="J2:K2"/>
    <mergeCell ref="L2:M2"/>
    <mergeCell ref="Q2:R2"/>
  </mergeCells>
  <phoneticPr fontId="1"/>
  <conditionalFormatting sqref="P1:P22 P27:P33 P25:Q26 P38:P46 P51:P61 P66:P76 P81:P89 P94:P110 P115:P125 P130:P142 P148:P161 P166:P169 P174:P1048576">
    <cfRule type="cellIs" dxfId="35" priority="34" operator="equal">
      <formula>"？"</formula>
    </cfRule>
    <cfRule type="cellIs" dxfId="34" priority="35" operator="equal">
      <formula>"陽"</formula>
    </cfRule>
    <cfRule type="cellIs" dxfId="33" priority="36" operator="equal">
      <formula>"陰"</formula>
    </cfRule>
  </conditionalFormatting>
  <conditionalFormatting sqref="P36:Q37">
    <cfRule type="cellIs" dxfId="32" priority="31" operator="equal">
      <formula>"？"</formula>
    </cfRule>
    <cfRule type="cellIs" dxfId="31" priority="32" operator="equal">
      <formula>"陽"</formula>
    </cfRule>
    <cfRule type="cellIs" dxfId="30" priority="33" operator="equal">
      <formula>"陰"</formula>
    </cfRule>
  </conditionalFormatting>
  <conditionalFormatting sqref="P49:Q50">
    <cfRule type="cellIs" dxfId="29" priority="28" operator="equal">
      <formula>"？"</formula>
    </cfRule>
    <cfRule type="cellIs" dxfId="28" priority="29" operator="equal">
      <formula>"陽"</formula>
    </cfRule>
    <cfRule type="cellIs" dxfId="27" priority="30" operator="equal">
      <formula>"陰"</formula>
    </cfRule>
  </conditionalFormatting>
  <conditionalFormatting sqref="P64:Q65">
    <cfRule type="cellIs" dxfId="26" priority="25" operator="equal">
      <formula>"？"</formula>
    </cfRule>
    <cfRule type="cellIs" dxfId="25" priority="26" operator="equal">
      <formula>"陽"</formula>
    </cfRule>
    <cfRule type="cellIs" dxfId="24" priority="27" operator="equal">
      <formula>"陰"</formula>
    </cfRule>
  </conditionalFormatting>
  <conditionalFormatting sqref="P79:Q80">
    <cfRule type="cellIs" dxfId="23" priority="22" operator="equal">
      <formula>"？"</formula>
    </cfRule>
    <cfRule type="cellIs" dxfId="22" priority="23" operator="equal">
      <formula>"陽"</formula>
    </cfRule>
    <cfRule type="cellIs" dxfId="21" priority="24" operator="equal">
      <formula>"陰"</formula>
    </cfRule>
  </conditionalFormatting>
  <conditionalFormatting sqref="P92:Q93">
    <cfRule type="cellIs" dxfId="20" priority="19" operator="equal">
      <formula>"？"</formula>
    </cfRule>
    <cfRule type="cellIs" dxfId="19" priority="20" operator="equal">
      <formula>"陽"</formula>
    </cfRule>
    <cfRule type="cellIs" dxfId="18" priority="21" operator="equal">
      <formula>"陰"</formula>
    </cfRule>
  </conditionalFormatting>
  <conditionalFormatting sqref="P113:Q114">
    <cfRule type="cellIs" dxfId="17" priority="16" operator="equal">
      <formula>"？"</formula>
    </cfRule>
    <cfRule type="cellIs" dxfId="16" priority="17" operator="equal">
      <formula>"陽"</formula>
    </cfRule>
    <cfRule type="cellIs" dxfId="15" priority="18" operator="equal">
      <formula>"陰"</formula>
    </cfRule>
  </conditionalFormatting>
  <conditionalFormatting sqref="P128:Q129">
    <cfRule type="cellIs" dxfId="14" priority="13" operator="equal">
      <formula>"？"</formula>
    </cfRule>
    <cfRule type="cellIs" dxfId="13" priority="14" operator="equal">
      <formula>"陽"</formula>
    </cfRule>
    <cfRule type="cellIs" dxfId="12" priority="15" operator="equal">
      <formula>"陰"</formula>
    </cfRule>
  </conditionalFormatting>
  <conditionalFormatting sqref="P145:Q147">
    <cfRule type="cellIs" dxfId="11" priority="10" operator="equal">
      <formula>"？"</formula>
    </cfRule>
    <cfRule type="cellIs" dxfId="10" priority="11" operator="equal">
      <formula>"陽"</formula>
    </cfRule>
    <cfRule type="cellIs" dxfId="9" priority="12" operator="equal">
      <formula>"陰"</formula>
    </cfRule>
  </conditionalFormatting>
  <conditionalFormatting sqref="P164:Q165">
    <cfRule type="cellIs" dxfId="8" priority="7" operator="equal">
      <formula>"？"</formula>
    </cfRule>
    <cfRule type="cellIs" dxfId="7" priority="8" operator="equal">
      <formula>"陽"</formula>
    </cfRule>
    <cfRule type="cellIs" dxfId="6" priority="9" operator="equal">
      <formula>"陰"</formula>
    </cfRule>
  </conditionalFormatting>
  <conditionalFormatting sqref="P172:Q173">
    <cfRule type="cellIs" dxfId="5" priority="4" operator="equal">
      <formula>"？"</formula>
    </cfRule>
    <cfRule type="cellIs" dxfId="4" priority="5" operator="equal">
      <formula>"陽"</formula>
    </cfRule>
    <cfRule type="cellIs" dxfId="3" priority="6" operator="equal">
      <formula>"陰"</formula>
    </cfRule>
  </conditionalFormatting>
  <conditionalFormatting sqref="Q5">
    <cfRule type="cellIs" dxfId="2" priority="1" operator="equal">
      <formula>"？"</formula>
    </cfRule>
    <cfRule type="cellIs" dxfId="1" priority="2" operator="equal">
      <formula>"陽"</formula>
    </cfRule>
    <cfRule type="cellIs" dxfId="0" priority="3" operator="equal">
      <formula>"陰"</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737" sqref="A737"/>
    </sheetView>
  </sheetViews>
  <sheetFormatPr defaultRowHeight="13.5" x14ac:dyDescent="0.15"/>
  <sheetData/>
  <phoneticPr fontId="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9"/>
  <sheetViews>
    <sheetView tabSelected="1" topLeftCell="AC4" zoomScaleNormal="100" workbookViewId="0">
      <selection activeCell="AJ2" sqref="AJ2"/>
    </sheetView>
  </sheetViews>
  <sheetFormatPr defaultRowHeight="13.5" x14ac:dyDescent="0.15"/>
  <cols>
    <col min="10" max="10" width="10.5" bestFit="1" customWidth="1"/>
    <col min="17" max="17" width="9.5" bestFit="1" customWidth="1"/>
    <col min="36" max="36" width="9.5" bestFit="1" customWidth="1"/>
  </cols>
  <sheetData>
    <row r="1" spans="1:43" x14ac:dyDescent="0.15">
      <c r="A1" s="36" t="s">
        <v>31</v>
      </c>
      <c r="J1" s="1">
        <v>42211</v>
      </c>
      <c r="Q1" s="1">
        <v>42218</v>
      </c>
      <c r="AJ1" s="1">
        <v>42224</v>
      </c>
    </row>
    <row r="2" spans="1:43" x14ac:dyDescent="0.15">
      <c r="B2" t="s">
        <v>32</v>
      </c>
      <c r="J2" t="s">
        <v>59</v>
      </c>
      <c r="K2" t="s">
        <v>60</v>
      </c>
      <c r="Q2" t="s">
        <v>99</v>
      </c>
      <c r="R2" t="s">
        <v>100</v>
      </c>
    </row>
    <row r="3" spans="1:43" ht="14.25" x14ac:dyDescent="0.15">
      <c r="B3" t="s">
        <v>33</v>
      </c>
      <c r="K3" t="s">
        <v>65</v>
      </c>
      <c r="R3" t="s">
        <v>101</v>
      </c>
      <c r="Z3" s="64" t="s">
        <v>130</v>
      </c>
      <c r="AJ3" s="80" t="s">
        <v>174</v>
      </c>
    </row>
    <row r="4" spans="1:43" ht="14.25" x14ac:dyDescent="0.15">
      <c r="B4" t="s">
        <v>34</v>
      </c>
      <c r="K4" t="s">
        <v>61</v>
      </c>
      <c r="R4" t="s">
        <v>102</v>
      </c>
      <c r="Z4" s="64" t="s">
        <v>131</v>
      </c>
      <c r="AJ4" s="80" t="s">
        <v>175</v>
      </c>
    </row>
    <row r="5" spans="1:43" ht="14.25" x14ac:dyDescent="0.15">
      <c r="B5" t="s">
        <v>35</v>
      </c>
      <c r="K5" t="s">
        <v>62</v>
      </c>
      <c r="R5" t="s">
        <v>103</v>
      </c>
      <c r="Z5" s="64" t="s">
        <v>132</v>
      </c>
      <c r="AJ5" s="80" t="s">
        <v>176</v>
      </c>
    </row>
    <row r="6" spans="1:43" ht="14.25" x14ac:dyDescent="0.15">
      <c r="B6" t="s">
        <v>36</v>
      </c>
      <c r="K6" t="s">
        <v>64</v>
      </c>
      <c r="R6" t="s">
        <v>104</v>
      </c>
      <c r="Z6" s="64" t="s">
        <v>133</v>
      </c>
      <c r="AJ6" s="80" t="s">
        <v>177</v>
      </c>
    </row>
    <row r="7" spans="1:43" x14ac:dyDescent="0.15">
      <c r="B7" t="s">
        <v>37</v>
      </c>
      <c r="K7" t="s">
        <v>63</v>
      </c>
      <c r="Z7" s="65"/>
      <c r="AJ7" s="80" t="s">
        <v>178</v>
      </c>
    </row>
    <row r="8" spans="1:43" ht="14.25" x14ac:dyDescent="0.15">
      <c r="B8" t="s">
        <v>41</v>
      </c>
      <c r="Q8" t="s">
        <v>29</v>
      </c>
      <c r="R8" t="s">
        <v>105</v>
      </c>
      <c r="Z8" s="64" t="s">
        <v>134</v>
      </c>
      <c r="AJ8" s="80" t="s">
        <v>179</v>
      </c>
    </row>
    <row r="9" spans="1:43" ht="14.25" x14ac:dyDescent="0.15">
      <c r="B9" t="s">
        <v>38</v>
      </c>
      <c r="K9" t="s">
        <v>66</v>
      </c>
      <c r="R9" t="s">
        <v>106</v>
      </c>
      <c r="Z9" s="64" t="s">
        <v>135</v>
      </c>
      <c r="AJ9" s="80" t="s">
        <v>180</v>
      </c>
    </row>
    <row r="10" spans="1:43" ht="14.25" x14ac:dyDescent="0.15">
      <c r="B10" t="s">
        <v>42</v>
      </c>
      <c r="K10" t="s">
        <v>67</v>
      </c>
      <c r="R10" t="s">
        <v>107</v>
      </c>
      <c r="Z10" s="64" t="s">
        <v>136</v>
      </c>
      <c r="AJ10" s="80" t="s">
        <v>181</v>
      </c>
    </row>
    <row r="11" spans="1:43" ht="14.25" x14ac:dyDescent="0.15">
      <c r="B11" t="s">
        <v>43</v>
      </c>
      <c r="K11" t="s">
        <v>68</v>
      </c>
      <c r="R11" t="s">
        <v>108</v>
      </c>
      <c r="Z11" s="64" t="s">
        <v>137</v>
      </c>
      <c r="AJ11" s="80" t="s">
        <v>182</v>
      </c>
    </row>
    <row r="12" spans="1:43" ht="14.25" x14ac:dyDescent="0.15">
      <c r="K12" t="s">
        <v>72</v>
      </c>
      <c r="R12" t="s">
        <v>109</v>
      </c>
      <c r="Z12" s="64" t="s">
        <v>138</v>
      </c>
      <c r="AJ12" s="80" t="s">
        <v>183</v>
      </c>
    </row>
    <row r="13" spans="1:43" ht="14.25" x14ac:dyDescent="0.15">
      <c r="A13" t="s">
        <v>29</v>
      </c>
      <c r="B13" t="s">
        <v>39</v>
      </c>
      <c r="K13" t="s">
        <v>74</v>
      </c>
      <c r="R13" t="s">
        <v>110</v>
      </c>
      <c r="Z13" s="64" t="s">
        <v>139</v>
      </c>
      <c r="AJ13" s="80" t="s">
        <v>134</v>
      </c>
    </row>
    <row r="14" spans="1:43" ht="14.25" customHeight="1" x14ac:dyDescent="0.15">
      <c r="B14" t="s">
        <v>40</v>
      </c>
      <c r="K14" t="s">
        <v>73</v>
      </c>
      <c r="R14" t="s">
        <v>111</v>
      </c>
      <c r="Z14" s="64" t="s">
        <v>140</v>
      </c>
      <c r="AJ14" s="82" t="s">
        <v>187</v>
      </c>
      <c r="AK14" s="82"/>
      <c r="AL14" s="82"/>
      <c r="AM14" s="82"/>
      <c r="AN14" s="82"/>
      <c r="AO14" s="82"/>
      <c r="AP14" s="82"/>
      <c r="AQ14" s="81"/>
    </row>
    <row r="15" spans="1:43" ht="14.25" x14ac:dyDescent="0.15">
      <c r="B15" t="s">
        <v>44</v>
      </c>
      <c r="K15" t="s">
        <v>69</v>
      </c>
      <c r="Z15" s="64" t="s">
        <v>141</v>
      </c>
      <c r="AJ15" s="82"/>
      <c r="AK15" s="82"/>
      <c r="AL15" s="82"/>
      <c r="AM15" s="82"/>
      <c r="AN15" s="82"/>
      <c r="AO15" s="82"/>
      <c r="AP15" s="82"/>
      <c r="AQ15" s="81"/>
    </row>
    <row r="16" spans="1:43" ht="14.25" x14ac:dyDescent="0.15">
      <c r="B16" t="s">
        <v>45</v>
      </c>
      <c r="K16" t="s">
        <v>70</v>
      </c>
      <c r="R16" t="s">
        <v>112</v>
      </c>
      <c r="Z16" s="64" t="s">
        <v>142</v>
      </c>
      <c r="AJ16" s="82"/>
      <c r="AK16" s="82"/>
      <c r="AL16" s="82"/>
      <c r="AM16" s="82"/>
      <c r="AN16" s="82"/>
      <c r="AO16" s="82"/>
      <c r="AP16" s="82"/>
      <c r="AQ16" s="81"/>
    </row>
    <row r="17" spans="1:43" ht="14.25" x14ac:dyDescent="0.15">
      <c r="B17" t="s">
        <v>46</v>
      </c>
      <c r="K17" t="s">
        <v>71</v>
      </c>
      <c r="R17" t="s">
        <v>113</v>
      </c>
      <c r="Z17" s="64" t="s">
        <v>143</v>
      </c>
      <c r="AJ17" s="82"/>
      <c r="AK17" s="82"/>
      <c r="AL17" s="82"/>
      <c r="AM17" s="82"/>
      <c r="AN17" s="82"/>
      <c r="AO17" s="82"/>
      <c r="AP17" s="82"/>
      <c r="AQ17" s="81"/>
    </row>
    <row r="18" spans="1:43" ht="14.25" x14ac:dyDescent="0.15">
      <c r="B18" t="s">
        <v>48</v>
      </c>
      <c r="Z18" s="64" t="s">
        <v>144</v>
      </c>
      <c r="AJ18" s="82"/>
      <c r="AK18" s="82"/>
      <c r="AL18" s="82"/>
      <c r="AM18" s="82"/>
      <c r="AN18" s="82"/>
      <c r="AO18" s="82"/>
      <c r="AP18" s="82"/>
      <c r="AQ18" s="81"/>
    </row>
    <row r="19" spans="1:43" ht="14.25" x14ac:dyDescent="0.15">
      <c r="B19" t="s">
        <v>47</v>
      </c>
      <c r="K19" t="s">
        <v>55</v>
      </c>
      <c r="R19" t="s">
        <v>114</v>
      </c>
      <c r="Z19" s="64" t="s">
        <v>145</v>
      </c>
      <c r="AJ19" s="82"/>
      <c r="AK19" s="82"/>
      <c r="AL19" s="82"/>
      <c r="AM19" s="82"/>
      <c r="AN19" s="82"/>
      <c r="AO19" s="82"/>
      <c r="AP19" s="82"/>
      <c r="AQ19" s="81"/>
    </row>
    <row r="20" spans="1:43" x14ac:dyDescent="0.15">
      <c r="B20" t="s">
        <v>49</v>
      </c>
      <c r="K20" t="s">
        <v>16</v>
      </c>
      <c r="L20" t="s">
        <v>9</v>
      </c>
      <c r="M20" t="s">
        <v>10</v>
      </c>
      <c r="N20" t="s">
        <v>54</v>
      </c>
      <c r="R20" t="s">
        <v>115</v>
      </c>
      <c r="Z20" s="65"/>
      <c r="AJ20" s="82"/>
      <c r="AK20" s="82"/>
      <c r="AL20" s="82"/>
      <c r="AM20" s="82"/>
      <c r="AN20" s="82"/>
      <c r="AO20" s="82"/>
      <c r="AP20" s="82"/>
      <c r="AQ20" s="81"/>
    </row>
    <row r="21" spans="1:43" ht="14.25" x14ac:dyDescent="0.15">
      <c r="K21" s="41">
        <v>0.41269841269841268</v>
      </c>
      <c r="L21">
        <v>4887.9999999999945</v>
      </c>
      <c r="M21">
        <v>-1928.0000000000027</v>
      </c>
      <c r="N21">
        <v>9968125.9797041491</v>
      </c>
      <c r="R21" t="s">
        <v>116</v>
      </c>
      <c r="Z21" s="64" t="s">
        <v>146</v>
      </c>
      <c r="AJ21" s="82"/>
      <c r="AK21" s="82"/>
      <c r="AL21" s="82"/>
      <c r="AM21" s="82"/>
      <c r="AN21" s="82"/>
      <c r="AO21" s="82"/>
      <c r="AP21" s="82"/>
      <c r="AQ21" s="81"/>
    </row>
    <row r="22" spans="1:43" ht="14.25" x14ac:dyDescent="0.15">
      <c r="A22" t="s">
        <v>30</v>
      </c>
      <c r="B22" t="s">
        <v>50</v>
      </c>
      <c r="K22" t="s">
        <v>56</v>
      </c>
      <c r="Z22" s="64" t="s">
        <v>147</v>
      </c>
      <c r="AJ22" s="82"/>
      <c r="AK22" s="82"/>
      <c r="AL22" s="82"/>
      <c r="AM22" s="82"/>
      <c r="AN22" s="82"/>
      <c r="AO22" s="82"/>
      <c r="AP22" s="82"/>
      <c r="AQ22" s="81"/>
    </row>
    <row r="23" spans="1:43" ht="14.25" customHeight="1" x14ac:dyDescent="0.15">
      <c r="B23" t="s">
        <v>51</v>
      </c>
      <c r="K23" t="s">
        <v>16</v>
      </c>
      <c r="L23" t="s">
        <v>9</v>
      </c>
      <c r="M23" t="s">
        <v>10</v>
      </c>
      <c r="N23" t="s">
        <v>54</v>
      </c>
      <c r="Q23" t="s">
        <v>30</v>
      </c>
      <c r="R23" t="s">
        <v>117</v>
      </c>
      <c r="Z23" s="65"/>
      <c r="AJ23" s="82" t="s">
        <v>188</v>
      </c>
      <c r="AK23" s="82"/>
      <c r="AL23" s="82"/>
      <c r="AM23" s="82"/>
      <c r="AN23" s="82"/>
      <c r="AO23" s="82"/>
      <c r="AP23" s="82"/>
      <c r="AQ23" s="81"/>
    </row>
    <row r="24" spans="1:43" ht="14.25" x14ac:dyDescent="0.15">
      <c r="B24" t="s">
        <v>52</v>
      </c>
      <c r="K24" s="41">
        <v>0.32142857142857145</v>
      </c>
      <c r="L24">
        <v>3104.0000000000091</v>
      </c>
      <c r="M24">
        <v>-2339.9999999999941</v>
      </c>
      <c r="N24">
        <v>20772244.660271678</v>
      </c>
      <c r="R24" t="s">
        <v>118</v>
      </c>
      <c r="Z24" s="64" t="s">
        <v>148</v>
      </c>
      <c r="AJ24" s="82"/>
      <c r="AK24" s="82"/>
      <c r="AL24" s="82"/>
      <c r="AM24" s="82"/>
      <c r="AN24" s="82"/>
      <c r="AO24" s="82"/>
      <c r="AP24" s="82"/>
      <c r="AQ24" s="81"/>
    </row>
    <row r="25" spans="1:43" ht="14.25" x14ac:dyDescent="0.15">
      <c r="K25" t="s">
        <v>57</v>
      </c>
      <c r="Z25" s="64" t="s">
        <v>149</v>
      </c>
      <c r="AJ25" s="82"/>
      <c r="AK25" s="82"/>
      <c r="AL25" s="82"/>
      <c r="AM25" s="82"/>
      <c r="AN25" s="82"/>
      <c r="AO25" s="82"/>
      <c r="AP25" s="82"/>
    </row>
    <row r="26" spans="1:43" ht="14.25" x14ac:dyDescent="0.15">
      <c r="K26" t="s">
        <v>16</v>
      </c>
      <c r="L26" t="s">
        <v>9</v>
      </c>
      <c r="M26" t="s">
        <v>10</v>
      </c>
      <c r="N26" t="s">
        <v>54</v>
      </c>
      <c r="Z26" s="64" t="s">
        <v>150</v>
      </c>
      <c r="AJ26" s="80" t="s">
        <v>184</v>
      </c>
      <c r="AK26" s="81"/>
      <c r="AL26" s="81"/>
      <c r="AM26" s="81"/>
      <c r="AN26" s="81"/>
      <c r="AO26" s="81"/>
      <c r="AP26" s="81"/>
    </row>
    <row r="27" spans="1:43" ht="14.25" x14ac:dyDescent="0.15">
      <c r="K27" s="41">
        <v>0.36842105263157893</v>
      </c>
      <c r="L27">
        <v>3395</v>
      </c>
      <c r="M27">
        <v>-1331.0000000000045</v>
      </c>
      <c r="N27">
        <v>14769127.045852879</v>
      </c>
      <c r="Z27" s="64" t="s">
        <v>151</v>
      </c>
      <c r="AJ27" s="80" t="s">
        <v>185</v>
      </c>
      <c r="AK27" s="81"/>
      <c r="AL27" s="81"/>
      <c r="AM27" s="81"/>
      <c r="AN27" s="81"/>
      <c r="AO27" s="81"/>
      <c r="AP27" s="81"/>
    </row>
    <row r="28" spans="1:43" ht="14.25" x14ac:dyDescent="0.15">
      <c r="K28" t="s">
        <v>58</v>
      </c>
      <c r="Z28" s="64" t="s">
        <v>152</v>
      </c>
      <c r="AJ28" s="80" t="s">
        <v>186</v>
      </c>
      <c r="AK28" s="81"/>
      <c r="AL28" s="81"/>
      <c r="AM28" s="81"/>
      <c r="AN28" s="81"/>
      <c r="AO28" s="81"/>
      <c r="AP28" s="81"/>
    </row>
    <row r="29" spans="1:43" ht="14.25" x14ac:dyDescent="0.15">
      <c r="K29" t="s">
        <v>16</v>
      </c>
      <c r="L29" t="s">
        <v>9</v>
      </c>
      <c r="M29" t="s">
        <v>10</v>
      </c>
      <c r="N29" t="s">
        <v>54</v>
      </c>
      <c r="Z29" s="64" t="s">
        <v>153</v>
      </c>
      <c r="AJ29" s="81"/>
      <c r="AK29" s="81"/>
      <c r="AL29" s="81"/>
      <c r="AM29" s="81"/>
      <c r="AN29" s="81"/>
      <c r="AO29" s="81"/>
      <c r="AP29" s="81"/>
    </row>
    <row r="30" spans="1:43" ht="14.25" x14ac:dyDescent="0.15">
      <c r="K30" s="41">
        <v>0.45945945945945948</v>
      </c>
      <c r="L30">
        <v>4011.0000000000045</v>
      </c>
      <c r="M30">
        <v>-1040.9999999999998</v>
      </c>
      <c r="N30">
        <v>7460513.5566534484</v>
      </c>
      <c r="Z30" s="64" t="s">
        <v>154</v>
      </c>
      <c r="AJ30" s="81"/>
      <c r="AK30" s="81"/>
      <c r="AL30" s="81"/>
      <c r="AM30" s="81"/>
      <c r="AN30" s="81"/>
      <c r="AO30" s="81"/>
      <c r="AP30" s="81"/>
    </row>
    <row r="31" spans="1:43" x14ac:dyDescent="0.15">
      <c r="AJ31" s="81"/>
      <c r="AK31" s="81"/>
      <c r="AL31" s="81"/>
      <c r="AM31" s="81"/>
      <c r="AN31" s="81"/>
      <c r="AO31" s="81"/>
      <c r="AP31" s="81"/>
    </row>
    <row r="32" spans="1:43" x14ac:dyDescent="0.15">
      <c r="J32" t="s">
        <v>75</v>
      </c>
      <c r="K32" t="s">
        <v>76</v>
      </c>
      <c r="AJ32" s="81"/>
      <c r="AK32" s="81"/>
      <c r="AL32" s="81"/>
      <c r="AM32" s="81"/>
      <c r="AN32" s="81"/>
      <c r="AO32" s="81"/>
      <c r="AP32" s="81"/>
    </row>
    <row r="33" spans="10:11" x14ac:dyDescent="0.15">
      <c r="K33" t="s">
        <v>77</v>
      </c>
    </row>
    <row r="34" spans="10:11" x14ac:dyDescent="0.15">
      <c r="K34" t="s">
        <v>90</v>
      </c>
    </row>
    <row r="35" spans="10:11" x14ac:dyDescent="0.15">
      <c r="K35" t="s">
        <v>91</v>
      </c>
    </row>
    <row r="36" spans="10:11" x14ac:dyDescent="0.15">
      <c r="K36" t="s">
        <v>92</v>
      </c>
    </row>
    <row r="37" spans="10:11" x14ac:dyDescent="0.15">
      <c r="K37" t="s">
        <v>78</v>
      </c>
    </row>
    <row r="38" spans="10:11" x14ac:dyDescent="0.15">
      <c r="K38" t="s">
        <v>79</v>
      </c>
    </row>
    <row r="39" spans="10:11" x14ac:dyDescent="0.15">
      <c r="K39" t="s">
        <v>80</v>
      </c>
    </row>
    <row r="40" spans="10:11" x14ac:dyDescent="0.15">
      <c r="K40" t="s">
        <v>81</v>
      </c>
    </row>
    <row r="41" spans="10:11" x14ac:dyDescent="0.15">
      <c r="K41" t="s">
        <v>82</v>
      </c>
    </row>
    <row r="42" spans="10:11" x14ac:dyDescent="0.15">
      <c r="K42" t="s">
        <v>83</v>
      </c>
    </row>
    <row r="43" spans="10:11" x14ac:dyDescent="0.15">
      <c r="K43" t="s">
        <v>84</v>
      </c>
    </row>
    <row r="44" spans="10:11" x14ac:dyDescent="0.15">
      <c r="K44" t="s">
        <v>85</v>
      </c>
    </row>
    <row r="46" spans="10:11" x14ac:dyDescent="0.15">
      <c r="J46" t="s">
        <v>86</v>
      </c>
      <c r="K46" t="s">
        <v>87</v>
      </c>
    </row>
    <row r="47" spans="10:11" x14ac:dyDescent="0.15">
      <c r="K47" t="s">
        <v>88</v>
      </c>
    </row>
    <row r="48" spans="10:11" x14ac:dyDescent="0.15">
      <c r="K48" t="s">
        <v>89</v>
      </c>
    </row>
    <row r="49" spans="11:11" x14ac:dyDescent="0.15">
      <c r="K49" t="s">
        <v>93</v>
      </c>
    </row>
  </sheetData>
  <mergeCells count="2">
    <mergeCell ref="AJ14:AP22"/>
    <mergeCell ref="AJ23:AP25"/>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8"/>
  <sheetViews>
    <sheetView workbookViewId="0">
      <selection activeCell="D11" sqref="D11"/>
    </sheetView>
  </sheetViews>
  <sheetFormatPr defaultRowHeight="13.5" x14ac:dyDescent="0.15"/>
  <cols>
    <col min="3" max="3" width="22.375" bestFit="1" customWidth="1"/>
    <col min="4" max="4" width="12.25" bestFit="1" customWidth="1"/>
  </cols>
  <sheetData>
    <row r="2" spans="2:4" x14ac:dyDescent="0.15">
      <c r="C2" s="48" t="s">
        <v>94</v>
      </c>
      <c r="D2" s="49" t="s">
        <v>98</v>
      </c>
    </row>
    <row r="3" spans="2:4" x14ac:dyDescent="0.15">
      <c r="B3" t="s">
        <v>26</v>
      </c>
      <c r="C3" t="s">
        <v>27</v>
      </c>
      <c r="D3" t="s">
        <v>27</v>
      </c>
    </row>
    <row r="4" spans="2:4" x14ac:dyDescent="0.15">
      <c r="C4" t="s">
        <v>28</v>
      </c>
    </row>
    <row r="6" spans="2:4" x14ac:dyDescent="0.15">
      <c r="B6" t="s">
        <v>95</v>
      </c>
      <c r="C6" t="s">
        <v>53</v>
      </c>
    </row>
    <row r="8" spans="2:4" x14ac:dyDescent="0.15">
      <c r="B8" t="s">
        <v>96</v>
      </c>
      <c r="C8" t="s">
        <v>97</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データ</vt:lpstr>
      <vt:lpstr>データ (買い増し有)</vt:lpstr>
      <vt:lpstr>画像</vt:lpstr>
      <vt:lpstr>気づき</vt:lpstr>
      <vt:lpstr>検証終了通貨</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 ??</cp:lastModifiedBy>
  <dcterms:created xsi:type="dcterms:W3CDTF">2015-07-09T17:02:26Z</dcterms:created>
  <dcterms:modified xsi:type="dcterms:W3CDTF">2015-08-08T15:01:51Z</dcterms:modified>
</cp:coreProperties>
</file>