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595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過去検証ＵＳＤＪＰＹ　４Ｈ" sheetId="5" r:id="rId5"/>
    <sheet name="過去検証ＵＳＤＣＡＤ４Ｈ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<sst xmlns="http://schemas.openxmlformats.org/spreadsheetml/2006/main" count="579" uniqueCount="147">
  <si>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</si>
  <si>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</si>
  <si>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</si>
  <si>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</si>
  <si>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</si>
  <si>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</si>
  <si>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</si>
  <si>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</si>
  <si>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</si>
  <si>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</si>
  <si>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</si>
  <si>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</si>
  <si>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</si>
  <si>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</si>
  <si>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</si>
  <si>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</si>
  <si>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</si>
  <si>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</si>
  <si>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</si>
  <si>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</si>
  <si>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</si>
  <si>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</si>
  <si>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</si>
  <si>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</si>
  <si>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</si>
  <si>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</si>
  <si>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</si>
  <si>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</si>
  <si>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</si>
  <si>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</si>
  <si>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</si>
  <si>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</si>
  <si>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</si>
  <si>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</si>
  <si>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</si>
  <si>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</si>
  <si>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</si>
  <si>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</si>
  <si>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</si>
  <si>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</si>
  <si>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</si>
  <si>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</si>
  <si>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</si>
  <si>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</si>
  <si>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</si>
  <si>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</si>
  <si>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</si>
  <si>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</si>
  <si>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</si>
  <si>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</si>
  <si>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</si>
  <si>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</si>
  <si>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</si>
  <si>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</si>
  <si>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</si>
  <si>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</si>
  <si>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</si>
  <si>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</si>
  <si>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</si>
  <si>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</si>
  <si>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</si>
  <si>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</si>
  <si>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</si>
  <si>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</si>
  <si>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</si>
  <si>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</si>
  <si>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</si>
  <si>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</si>
  <si>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</si>
  <si>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</si>
  <si>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</si>
  <si>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</si>
  <si>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</si>
  <si>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</si>
  <si>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</si>
  <si>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</si>
  <si>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</si>
  <si>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</si>
  <si>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</si>
  <si>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</si>
  <si>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</si>
  <si>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</si>
  <si>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</si>
  <si>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</si>
  <si>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</si>
  <si>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</si>
  <si>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</si>
  <si>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</si>
  <si>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</si>
  <si>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</si>
  <si>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</si>
  <si>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</si>
  <si>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</si>
  <si>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</si>
  <si>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</si>
  <si>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</si>
  <si>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</si>
  <si>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</si>
  <si>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</si>
  <si>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</si>
  <si>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</si>
  <si>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</si>
  <si>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</si>
  <si>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</si>
  <si>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</si>
  <si>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ロスカット値</t>
  </si>
  <si>
    <t>エントリー値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</si>
  <si>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</si>
  <si>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</si>
  <si>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</si>
  <si>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</si>
  <si>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</si>
  <si>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</si>
  <si>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買い</t>
  </si>
  <si>
    <t>ＵＳＤ</t>
  </si>
  <si>
    <t>JPY</t>
  </si>
  <si>
    <t>4h</t>
  </si>
  <si>
    <t>PB</t>
  </si>
  <si>
    <t>ストップ切り上げ</t>
  </si>
  <si>
    <t>ストップ切り下げ</t>
  </si>
  <si>
    <t>ストップっ切り下げ</t>
  </si>
  <si>
    <t>USD</t>
  </si>
  <si>
    <t>CAD</t>
  </si>
  <si>
    <t>PB</t>
  </si>
  <si>
    <t>PB</t>
  </si>
  <si>
    <t>4h</t>
  </si>
  <si>
    <r>
      <t>2</t>
    </r>
    <r>
      <rPr>
        <sz val="11"/>
        <color indexed="8"/>
        <rFont val="ＭＳ Ｐゴシック"/>
        <family val="3"/>
      </rPr>
      <t>012//7/16 20:00</t>
    </r>
  </si>
  <si>
    <r>
      <t>2</t>
    </r>
    <r>
      <rPr>
        <sz val="11"/>
        <color indexed="8"/>
        <rFont val="ＭＳ Ｐゴシック"/>
        <family val="3"/>
      </rPr>
      <t>012/12 14 12:00</t>
    </r>
  </si>
  <si>
    <t>USDCAD</t>
  </si>
  <si>
    <t>の３番目</t>
  </si>
  <si>
    <t>仕掛け１240分脚です。</t>
  </si>
  <si>
    <t>入ったところと出たところ。が赤い囲みです。</t>
  </si>
  <si>
    <t>（厳密にはどちらもその隣のろうそくで入って決済かけています）</t>
  </si>
  <si>
    <t>考え方、大丈夫かご査収ください。</t>
  </si>
  <si>
    <t>仕掛け124分脚、</t>
  </si>
  <si>
    <t>ＵＳＤＪＰＹの22番目のモノです。</t>
  </si>
  <si>
    <t>考え方、やりかた、あっているかお教えください・</t>
  </si>
  <si>
    <t>ＵＳＤＪＰＹ24分脚</t>
  </si>
  <si>
    <t>２５ばんめのものです</t>
  </si>
  <si>
    <t>日足より入れる時間は短くなってきましたが、綺麗な仕掛け１のろうそく脚を見つけるのが難しい気がしました。</t>
  </si>
  <si>
    <t>くなったきがしました・</t>
  </si>
  <si>
    <t>過去の検証なので、綺麗なものだけを探して、負けなしになりましたが、実際にやると、ここまで綺麗なものばかり</t>
  </si>
  <si>
    <t>が見つかるとは思えないので、時間軸が長いほう（日足）のほうが</t>
  </si>
  <si>
    <t>れる時間のスパン</t>
  </si>
  <si>
    <t>スパンは短くなった気がしますが、</t>
  </si>
  <si>
    <t>綺麗な仕掛け1を探すのが難しくなった気がしました</t>
  </si>
  <si>
    <t>皆に信頼をもって見られる意味が解った気がしました。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</si>
</sst>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99" xfId="61" applyNumberFormat="1" applyFont="1" applyFill="1" applyBorder="1" applyAlignment="1" applyProtection="1">
      <alignment horizontal="center" vertical="center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100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47625</xdr:colOff>
      <xdr:row>20</xdr:row>
      <xdr:rowOff>47625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340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5</xdr:col>
      <xdr:colOff>581025</xdr:colOff>
      <xdr:row>49</xdr:row>
      <xdr:rowOff>57150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40100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2</xdr:col>
      <xdr:colOff>419100</xdr:colOff>
      <xdr:row>67</xdr:row>
      <xdr:rowOff>57150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29750"/>
          <a:ext cx="17907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3" t="s">
        <v>0</v>
      </c>
      <c r="E1" s="234"/>
      <c r="F1" s="235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6">
        <v>500000</v>
      </c>
      <c r="E2" s="236"/>
      <c r="F2" s="236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7">
        <f>SUM(D2+F36)</f>
        <v>500000</v>
      </c>
      <c r="E3" s="237"/>
      <c r="F3" s="238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9" t="s">
        <v>87</v>
      </c>
      <c r="B36" s="240"/>
      <c r="C36" s="241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M76"/>
  <sheetViews>
    <sheetView tabSelected="1" zoomScalePageLayoutView="0" workbookViewId="0" topLeftCell="A55">
      <selection activeCell="K68" sqref="K68"/>
    </sheetView>
  </sheetViews>
  <sheetFormatPr defaultColWidth="9.00390625" defaultRowHeight="13.5"/>
  <sheetData>
    <row r="2" ht="13.5">
      <c r="J2" t="s">
        <v>128</v>
      </c>
    </row>
    <row r="3" ht="13.5">
      <c r="J3" t="s">
        <v>129</v>
      </c>
    </row>
    <row r="4" ht="13.5">
      <c r="J4" t="s">
        <v>130</v>
      </c>
    </row>
    <row r="6" ht="13.5">
      <c r="J6" t="s">
        <v>131</v>
      </c>
    </row>
    <row r="7" ht="13.5">
      <c r="J7" t="s">
        <v>132</v>
      </c>
    </row>
    <row r="10" ht="13.5">
      <c r="J10" t="s">
        <v>133</v>
      </c>
    </row>
    <row r="34" ht="13.5">
      <c r="I34" t="s">
        <v>134</v>
      </c>
    </row>
    <row r="35" ht="13.5">
      <c r="I35" t="s">
        <v>135</v>
      </c>
    </row>
    <row r="37" ht="13.5">
      <c r="I37" t="s">
        <v>136</v>
      </c>
    </row>
    <row r="57" ht="13.5">
      <c r="H57" t="s">
        <v>137</v>
      </c>
    </row>
    <row r="58" ht="13.5">
      <c r="H58" t="s">
        <v>138</v>
      </c>
    </row>
    <row r="74" spans="5:13" ht="13.5">
      <c r="E74" t="s">
        <v>139</v>
      </c>
      <c r="F74" t="s">
        <v>143</v>
      </c>
      <c r="G74" t="s">
        <v>144</v>
      </c>
      <c r="J74" t="s">
        <v>145</v>
      </c>
      <c r="M74" t="s">
        <v>140</v>
      </c>
    </row>
    <row r="75" ht="13.5">
      <c r="E75" t="s">
        <v>141</v>
      </c>
    </row>
    <row r="76" spans="5:11" ht="13.5">
      <c r="E76" t="s">
        <v>142</v>
      </c>
      <c r="K76" t="s">
        <v>146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13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3"/>
      <c r="Q3" s="244"/>
      <c r="R3" s="244"/>
      <c r="S3" s="244"/>
      <c r="T3" s="244"/>
      <c r="U3" s="244"/>
      <c r="V3" s="244"/>
    </row>
    <row r="4" spans="1:22" ht="13.5">
      <c r="A4" s="154"/>
      <c r="B4" s="242"/>
      <c r="C4" s="242"/>
      <c r="D4" s="242"/>
      <c r="P4" s="244"/>
      <c r="Q4" s="244"/>
      <c r="R4" s="244"/>
      <c r="S4" s="244"/>
      <c r="T4" s="244"/>
      <c r="U4" s="244"/>
      <c r="V4" s="244"/>
    </row>
    <row r="5" spans="1:22" ht="13.5">
      <c r="A5" s="154"/>
      <c r="B5" s="242"/>
      <c r="C5" s="242"/>
      <c r="D5" s="242"/>
      <c r="P5" s="244"/>
      <c r="Q5" s="244"/>
      <c r="R5" s="244"/>
      <c r="S5" s="244"/>
      <c r="T5" s="244"/>
      <c r="U5" s="244"/>
      <c r="V5" s="244"/>
    </row>
    <row r="6" spans="1:22" ht="13.5">
      <c r="A6" s="155"/>
      <c r="B6" s="242"/>
      <c r="C6" s="242"/>
      <c r="D6" s="242"/>
      <c r="P6" s="244"/>
      <c r="Q6" s="244"/>
      <c r="R6" s="244"/>
      <c r="S6" s="244"/>
      <c r="T6" s="244"/>
      <c r="U6" s="244"/>
      <c r="V6" s="244"/>
    </row>
    <row r="7" spans="1:22" ht="13.5">
      <c r="A7" s="154"/>
      <c r="G7" s="156"/>
      <c r="P7" s="244"/>
      <c r="Q7" s="244"/>
      <c r="R7" s="244"/>
      <c r="S7" s="244"/>
      <c r="T7" s="244"/>
      <c r="U7" s="244"/>
      <c r="V7" s="244"/>
    </row>
    <row r="8" spans="1:22" ht="13.5">
      <c r="A8" s="154" t="s">
        <v>55</v>
      </c>
      <c r="P8" s="244"/>
      <c r="Q8" s="244"/>
      <c r="R8" s="244"/>
      <c r="S8" s="244"/>
      <c r="T8" s="244"/>
      <c r="U8" s="244"/>
      <c r="V8" s="244"/>
    </row>
    <row r="9" spans="16:22" ht="8.25" customHeight="1">
      <c r="P9" s="244"/>
      <c r="Q9" s="244"/>
      <c r="R9" s="244"/>
      <c r="S9" s="244"/>
      <c r="T9" s="244"/>
      <c r="U9" s="244"/>
      <c r="V9" s="244"/>
    </row>
    <row r="10" spans="2:22" ht="14.25">
      <c r="B10" s="150" t="s">
        <v>92</v>
      </c>
      <c r="P10" s="244"/>
      <c r="Q10" s="244"/>
      <c r="R10" s="244"/>
      <c r="S10" s="244"/>
      <c r="T10" s="244"/>
      <c r="U10" s="244"/>
      <c r="V10" s="244"/>
    </row>
    <row r="11" spans="16:22" ht="13.5">
      <c r="P11" s="244"/>
      <c r="Q11" s="244"/>
      <c r="R11" s="244"/>
      <c r="S11" s="244"/>
      <c r="T11" s="244"/>
      <c r="U11" s="244"/>
      <c r="V11" s="244"/>
    </row>
    <row r="12" spans="16:22" ht="13.5">
      <c r="P12" s="244"/>
      <c r="Q12" s="244"/>
      <c r="R12" s="244"/>
      <c r="S12" s="244"/>
      <c r="T12" s="244"/>
      <c r="U12" s="244"/>
      <c r="V12" s="244"/>
    </row>
    <row r="13" spans="16:22" ht="13.5">
      <c r="P13" s="244"/>
      <c r="Q13" s="244"/>
      <c r="R13" s="244"/>
      <c r="S13" s="244"/>
      <c r="T13" s="244"/>
      <c r="U13" s="244"/>
      <c r="V13" s="244"/>
    </row>
    <row r="14" spans="16:22" ht="13.5">
      <c r="P14" s="244"/>
      <c r="Q14" s="244"/>
      <c r="R14" s="244"/>
      <c r="S14" s="244"/>
      <c r="T14" s="244"/>
      <c r="U14" s="244"/>
      <c r="V14" s="244"/>
    </row>
    <row r="15" spans="16:22" ht="13.5">
      <c r="P15" s="244"/>
      <c r="Q15" s="244"/>
      <c r="R15" s="244"/>
      <c r="S15" s="244"/>
      <c r="T15" s="244"/>
      <c r="U15" s="244"/>
      <c r="V15" s="244"/>
    </row>
    <row r="16" spans="16:22" ht="13.5">
      <c r="P16" s="244"/>
      <c r="Q16" s="244"/>
      <c r="R16" s="244"/>
      <c r="S16" s="244"/>
      <c r="T16" s="244"/>
      <c r="U16" s="244"/>
      <c r="V16" s="244"/>
    </row>
    <row r="17" spans="16:22" ht="13.5">
      <c r="P17" s="244"/>
      <c r="Q17" s="244"/>
      <c r="R17" s="244"/>
      <c r="S17" s="244"/>
      <c r="T17" s="244"/>
      <c r="U17" s="244"/>
      <c r="V17" s="244"/>
    </row>
    <row r="18" spans="16:22" ht="13.5">
      <c r="P18" s="244"/>
      <c r="Q18" s="244"/>
      <c r="R18" s="244"/>
      <c r="S18" s="244"/>
      <c r="T18" s="244"/>
      <c r="U18" s="244"/>
      <c r="V18" s="244"/>
    </row>
    <row r="19" spans="16:22" ht="13.5">
      <c r="P19" s="244"/>
      <c r="Q19" s="244"/>
      <c r="R19" s="244"/>
      <c r="S19" s="244"/>
      <c r="T19" s="244"/>
      <c r="U19" s="244"/>
      <c r="V19" s="244"/>
    </row>
    <row r="20" spans="2:22" ht="14.25">
      <c r="B20" s="150" t="s">
        <v>93</v>
      </c>
      <c r="P20" s="244"/>
      <c r="Q20" s="244"/>
      <c r="R20" s="244"/>
      <c r="S20" s="244"/>
      <c r="T20" s="244"/>
      <c r="U20" s="244"/>
      <c r="V20" s="244"/>
    </row>
    <row r="21" spans="16:22" ht="13.5">
      <c r="P21" s="244"/>
      <c r="Q21" s="244"/>
      <c r="R21" s="244"/>
      <c r="S21" s="244"/>
      <c r="T21" s="244"/>
      <c r="U21" s="244"/>
      <c r="V21" s="244"/>
    </row>
    <row r="22" spans="16:22" ht="13.5">
      <c r="P22" s="244"/>
      <c r="Q22" s="244"/>
      <c r="R22" s="244"/>
      <c r="S22" s="244"/>
      <c r="T22" s="244"/>
      <c r="U22" s="244"/>
      <c r="V22" s="244"/>
    </row>
    <row r="23" spans="16:22" ht="13.5">
      <c r="P23" s="244"/>
      <c r="Q23" s="244"/>
      <c r="R23" s="244"/>
      <c r="S23" s="244"/>
      <c r="T23" s="244"/>
      <c r="U23" s="244"/>
      <c r="V23" s="244"/>
    </row>
    <row r="24" spans="16:22" ht="13.5">
      <c r="P24" s="244"/>
      <c r="Q24" s="244"/>
      <c r="R24" s="244"/>
      <c r="S24" s="244"/>
      <c r="T24" s="244"/>
      <c r="U24" s="244"/>
      <c r="V24" s="244"/>
    </row>
    <row r="25" spans="2:22" ht="14.25">
      <c r="B25" s="150" t="s">
        <v>94</v>
      </c>
      <c r="P25" s="244"/>
      <c r="Q25" s="244"/>
      <c r="R25" s="244"/>
      <c r="S25" s="244"/>
      <c r="T25" s="244"/>
      <c r="U25" s="244"/>
      <c r="V25" s="244"/>
    </row>
    <row r="26" spans="16:22" ht="13.5">
      <c r="P26" s="244"/>
      <c r="Q26" s="244"/>
      <c r="R26" s="244"/>
      <c r="S26" s="244"/>
      <c r="T26" s="244"/>
      <c r="U26" s="244"/>
      <c r="V26" s="244"/>
    </row>
    <row r="27" spans="16:22" ht="13.5">
      <c r="P27" s="244"/>
      <c r="Q27" s="244"/>
      <c r="R27" s="244"/>
      <c r="S27" s="244"/>
      <c r="T27" s="244"/>
      <c r="U27" s="244"/>
      <c r="V27" s="244"/>
    </row>
    <row r="28" spans="16:22" ht="13.5">
      <c r="P28" s="244"/>
      <c r="Q28" s="244"/>
      <c r="R28" s="244"/>
      <c r="S28" s="244"/>
      <c r="T28" s="244"/>
      <c r="U28" s="244"/>
      <c r="V28" s="244"/>
    </row>
    <row r="29" spans="16:22" ht="13.5">
      <c r="P29" s="244"/>
      <c r="Q29" s="244"/>
      <c r="R29" s="244"/>
      <c r="S29" s="244"/>
      <c r="T29" s="244"/>
      <c r="U29" s="244"/>
      <c r="V29" s="244"/>
    </row>
    <row r="30" spans="16:22" ht="13.5">
      <c r="P30" s="244"/>
      <c r="Q30" s="244"/>
      <c r="R30" s="244"/>
      <c r="S30" s="244"/>
      <c r="T30" s="244"/>
      <c r="U30" s="244"/>
      <c r="V30" s="244"/>
    </row>
    <row r="31" spans="16:22" ht="13.5">
      <c r="P31" s="244"/>
      <c r="Q31" s="244"/>
      <c r="R31" s="244"/>
      <c r="S31" s="244"/>
      <c r="T31" s="244"/>
      <c r="U31" s="244"/>
      <c r="V31" s="244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B1">
      <pane ySplit="4" topLeftCell="A9" activePane="bottomLeft" state="frozen"/>
      <selection pane="topLeft" activeCell="A1" sqref="A1"/>
      <selection pane="bottomLeft" activeCell="B31" sqref="B31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72" t="s">
        <v>60</v>
      </c>
      <c r="B2" s="272"/>
      <c r="C2" s="273">
        <v>1000000</v>
      </c>
      <c r="D2" s="273"/>
      <c r="E2" s="273"/>
      <c r="F2" s="273"/>
      <c r="G2" s="272" t="s">
        <v>61</v>
      </c>
      <c r="H2" s="272"/>
      <c r="I2" s="19">
        <v>1000000</v>
      </c>
      <c r="J2" s="20" t="s">
        <v>62</v>
      </c>
      <c r="K2" s="214">
        <v>0.3</v>
      </c>
      <c r="N2" s="216"/>
      <c r="O2" s="215" t="s">
        <v>107</v>
      </c>
      <c r="U2" s="18"/>
      <c r="V2" s="18"/>
      <c r="W2" s="18"/>
      <c r="AU2" s="21">
        <f>I2-I2*K2</f>
        <v>700000</v>
      </c>
    </row>
    <row r="3" spans="1:23" ht="21" customHeight="1">
      <c r="A3" s="272" t="s">
        <v>63</v>
      </c>
      <c r="B3" s="272"/>
      <c r="C3" s="274">
        <v>17</v>
      </c>
      <c r="D3" s="274"/>
      <c r="E3" s="274"/>
      <c r="F3" s="274"/>
      <c r="G3" s="275">
        <f>IF(C2&lt;AU2,"警告！！資金不足！！","")</f>
      </c>
      <c r="H3" s="275"/>
      <c r="I3" s="275"/>
      <c r="J3" s="275"/>
      <c r="K3" s="275"/>
      <c r="P3" s="225" t="s">
        <v>112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2" t="s">
        <v>21</v>
      </c>
      <c r="E4" s="263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v>1000000</v>
      </c>
      <c r="C5" s="204">
        <v>0.03</v>
      </c>
      <c r="D5" s="34" t="s">
        <v>114</v>
      </c>
      <c r="E5" s="35" t="s">
        <v>74</v>
      </c>
      <c r="F5" s="36" t="s">
        <v>117</v>
      </c>
      <c r="G5" s="36" t="s">
        <v>116</v>
      </c>
      <c r="H5" s="36" t="s">
        <v>113</v>
      </c>
      <c r="I5" s="37">
        <v>40927.5</v>
      </c>
      <c r="J5" s="38">
        <v>76.85</v>
      </c>
      <c r="K5" s="38">
        <v>76.69</v>
      </c>
      <c r="L5" s="39">
        <f aca="true" t="shared" si="0" ref="L5:L68">IF(H5="","",IF(H5="買い",J5+$C$3*VLOOKUP(E5,$X$5:$AA$23,3,FALSE),J5-$C$3*VLOOKUP(E5,$X$5:$AA$23,3,FALSE)))</f>
        <v>77.02</v>
      </c>
      <c r="M5" s="36" t="s">
        <v>116</v>
      </c>
      <c r="N5" s="40">
        <v>40933.666666666664</v>
      </c>
      <c r="O5" s="41">
        <v>77.96</v>
      </c>
      <c r="P5" s="42" t="s">
        <v>118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15.999999999999659</v>
      </c>
      <c r="S5" s="45">
        <f aca="true" t="shared" si="3" ref="S5:S68">IF(K5="",0,ROUNDDOWN((B5*C5)/(VLOOKUP(E5,$X$5:$AA$23,4,FALSE)*R5),-3))</f>
        <v>187000</v>
      </c>
      <c r="T5" s="46">
        <f aca="true" t="shared" si="4" ref="T5:T68">IF(Q5="勝ち",IF(H5="買い",(O5-J5)/VLOOKUP(E5,$X$5:$AA$23,3,FALSE),(J5-O5)/VLOOKUP(E5,$X$5:$AA$23,3,FALSE)),0)</f>
        <v>110.99999999999994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207569.99999999988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>
        <v>1207570</v>
      </c>
      <c r="C6" s="204">
        <v>0.03</v>
      </c>
      <c r="D6" s="34" t="s">
        <v>114</v>
      </c>
      <c r="E6" s="35" t="s">
        <v>115</v>
      </c>
      <c r="F6" s="36" t="s">
        <v>117</v>
      </c>
      <c r="G6" s="36" t="s">
        <v>116</v>
      </c>
      <c r="H6" s="36" t="s">
        <v>102</v>
      </c>
      <c r="I6" s="37">
        <v>40934.166666666664</v>
      </c>
      <c r="J6" s="38">
        <v>77.63</v>
      </c>
      <c r="K6" s="38">
        <v>77.96</v>
      </c>
      <c r="L6" s="39">
        <f t="shared" si="0"/>
        <v>77.46</v>
      </c>
      <c r="M6" s="36" t="s">
        <v>116</v>
      </c>
      <c r="N6" s="37">
        <v>40940.666666666664</v>
      </c>
      <c r="O6" s="38">
        <v>76.34</v>
      </c>
      <c r="P6" s="53" t="s">
        <v>119</v>
      </c>
      <c r="Q6" s="43" t="str">
        <f t="shared" si="1"/>
        <v>勝ち</v>
      </c>
      <c r="R6" s="44">
        <f t="shared" si="2"/>
        <v>32.99999999999983</v>
      </c>
      <c r="S6" s="45">
        <f t="shared" si="3"/>
        <v>109000</v>
      </c>
      <c r="T6" s="46">
        <f t="shared" si="4"/>
        <v>128.9999999999992</v>
      </c>
      <c r="U6" s="47">
        <f t="shared" si="5"/>
        <v>0</v>
      </c>
      <c r="V6" s="48">
        <f t="shared" si="6"/>
        <v>140609.99999999913</v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>
        <v>1348180</v>
      </c>
      <c r="C7" s="204">
        <v>0.03</v>
      </c>
      <c r="D7" s="34" t="s">
        <v>114</v>
      </c>
      <c r="E7" s="35" t="s">
        <v>115</v>
      </c>
      <c r="F7" s="36" t="s">
        <v>117</v>
      </c>
      <c r="G7" s="36" t="s">
        <v>116</v>
      </c>
      <c r="H7" s="36" t="s">
        <v>113</v>
      </c>
      <c r="I7" s="37">
        <v>40941.666666666664</v>
      </c>
      <c r="J7" s="38">
        <v>76.18</v>
      </c>
      <c r="K7" s="38">
        <v>76.03</v>
      </c>
      <c r="L7" s="39">
        <f t="shared" si="0"/>
        <v>76.35000000000001</v>
      </c>
      <c r="M7" s="36" t="s">
        <v>116</v>
      </c>
      <c r="N7" s="37">
        <v>40953</v>
      </c>
      <c r="O7" s="38">
        <v>77.38</v>
      </c>
      <c r="P7" s="53" t="s">
        <v>118</v>
      </c>
      <c r="Q7" s="43" t="str">
        <f t="shared" si="1"/>
        <v>勝ち</v>
      </c>
      <c r="R7" s="44">
        <f t="shared" si="2"/>
        <v>15.000000000000568</v>
      </c>
      <c r="S7" s="45">
        <f t="shared" si="3"/>
        <v>269000</v>
      </c>
      <c r="T7" s="46">
        <f t="shared" si="4"/>
        <v>119.99999999999886</v>
      </c>
      <c r="U7" s="47">
        <f t="shared" si="5"/>
        <v>0</v>
      </c>
      <c r="V7" s="48">
        <f t="shared" si="6"/>
        <v>322799.9999999969</v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>
        <v>1670980</v>
      </c>
      <c r="C8" s="204">
        <v>0.03</v>
      </c>
      <c r="D8" s="34" t="s">
        <v>114</v>
      </c>
      <c r="E8" s="35" t="s">
        <v>115</v>
      </c>
      <c r="F8" s="36" t="s">
        <v>117</v>
      </c>
      <c r="G8" s="36" t="s">
        <v>116</v>
      </c>
      <c r="H8" s="36" t="s">
        <v>113</v>
      </c>
      <c r="I8" s="37">
        <v>40953</v>
      </c>
      <c r="J8" s="38">
        <v>77.63</v>
      </c>
      <c r="K8" s="38">
        <v>77.35</v>
      </c>
      <c r="L8" s="39">
        <f t="shared" si="0"/>
        <v>77.8</v>
      </c>
      <c r="M8" s="36" t="s">
        <v>116</v>
      </c>
      <c r="N8" s="37">
        <v>40973.166666666664</v>
      </c>
      <c r="O8" s="38">
        <v>81.509</v>
      </c>
      <c r="P8" s="53" t="s">
        <v>118</v>
      </c>
      <c r="Q8" s="43" t="str">
        <f t="shared" si="1"/>
        <v>勝ち</v>
      </c>
      <c r="R8" s="44">
        <f t="shared" si="2"/>
        <v>28.000000000000114</v>
      </c>
      <c r="S8" s="45">
        <f t="shared" si="3"/>
        <v>179000</v>
      </c>
      <c r="T8" s="46">
        <f t="shared" si="4"/>
        <v>387.9000000000005</v>
      </c>
      <c r="U8" s="47">
        <f t="shared" si="5"/>
        <v>0</v>
      </c>
      <c r="V8" s="48">
        <f t="shared" si="6"/>
        <v>694341.0000000009</v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>
        <v>2365321</v>
      </c>
      <c r="C9" s="204">
        <v>0.03</v>
      </c>
      <c r="D9" s="34" t="s">
        <v>114</v>
      </c>
      <c r="E9" s="35" t="s">
        <v>115</v>
      </c>
      <c r="F9" s="36" t="s">
        <v>117</v>
      </c>
      <c r="G9" s="36" t="s">
        <v>116</v>
      </c>
      <c r="H9" s="36" t="s">
        <v>113</v>
      </c>
      <c r="I9" s="37">
        <v>40975.5</v>
      </c>
      <c r="J9" s="38">
        <v>80.934</v>
      </c>
      <c r="K9" s="38">
        <v>80.575</v>
      </c>
      <c r="L9" s="39">
        <f t="shared" si="0"/>
        <v>81.104</v>
      </c>
      <c r="M9" s="36" t="s">
        <v>116</v>
      </c>
      <c r="N9" s="232">
        <v>40974.166666666664</v>
      </c>
      <c r="O9" s="38">
        <v>83.358</v>
      </c>
      <c r="P9" s="53" t="s">
        <v>118</v>
      </c>
      <c r="Q9" s="43" t="str">
        <f t="shared" si="1"/>
        <v>勝ち</v>
      </c>
      <c r="R9" s="44">
        <f t="shared" si="2"/>
        <v>35.899999999999466</v>
      </c>
      <c r="S9" s="45">
        <f t="shared" si="3"/>
        <v>197000</v>
      </c>
      <c r="T9" s="46">
        <f t="shared" si="4"/>
        <v>242.40000000000066</v>
      </c>
      <c r="U9" s="47">
        <f t="shared" si="5"/>
        <v>0</v>
      </c>
      <c r="V9" s="48">
        <f t="shared" si="6"/>
        <v>477528.0000000013</v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>
        <v>2842849</v>
      </c>
      <c r="C10" s="204">
        <v>0.03</v>
      </c>
      <c r="D10" s="34" t="s">
        <v>114</v>
      </c>
      <c r="E10" s="35" t="s">
        <v>115</v>
      </c>
      <c r="F10" s="36" t="s">
        <v>117</v>
      </c>
      <c r="G10" s="36" t="s">
        <v>116</v>
      </c>
      <c r="H10" s="36" t="s">
        <v>102</v>
      </c>
      <c r="I10" s="232">
        <v>40989.666666666664</v>
      </c>
      <c r="J10" s="38">
        <v>83.819</v>
      </c>
      <c r="K10" s="38">
        <v>84.087</v>
      </c>
      <c r="L10" s="39">
        <f t="shared" si="0"/>
        <v>83.649</v>
      </c>
      <c r="M10" s="36" t="s">
        <v>116</v>
      </c>
      <c r="N10" s="37">
        <v>40995.5</v>
      </c>
      <c r="O10" s="38">
        <v>83.024</v>
      </c>
      <c r="P10" s="53" t="s">
        <v>119</v>
      </c>
      <c r="Q10" s="43" t="str">
        <f t="shared" si="1"/>
        <v>勝ち</v>
      </c>
      <c r="R10" s="44">
        <f t="shared" si="2"/>
        <v>26.800000000000068</v>
      </c>
      <c r="S10" s="45">
        <f t="shared" si="3"/>
        <v>318000</v>
      </c>
      <c r="T10" s="46">
        <f t="shared" si="4"/>
        <v>79.50000000000017</v>
      </c>
      <c r="U10" s="47">
        <f t="shared" si="5"/>
        <v>0</v>
      </c>
      <c r="V10" s="48">
        <f t="shared" si="6"/>
        <v>252810.00000000055</v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>
        <v>3095659</v>
      </c>
      <c r="C11" s="204">
        <v>0.03</v>
      </c>
      <c r="D11" s="34" t="s">
        <v>114</v>
      </c>
      <c r="E11" s="35" t="s">
        <v>115</v>
      </c>
      <c r="F11" s="36" t="s">
        <v>117</v>
      </c>
      <c r="G11" s="36" t="s">
        <v>116</v>
      </c>
      <c r="H11" s="36" t="s">
        <v>102</v>
      </c>
      <c r="I11" s="37">
        <v>40996.666666666664</v>
      </c>
      <c r="J11" s="38">
        <v>82.895</v>
      </c>
      <c r="K11" s="38">
        <v>83.168</v>
      </c>
      <c r="L11" s="39">
        <f t="shared" si="0"/>
        <v>82.725</v>
      </c>
      <c r="M11" s="36" t="s">
        <v>116</v>
      </c>
      <c r="N11" s="37">
        <v>40998.5</v>
      </c>
      <c r="O11" s="38">
        <v>82.225</v>
      </c>
      <c r="P11" s="53" t="s">
        <v>119</v>
      </c>
      <c r="Q11" s="43" t="str">
        <f t="shared" si="1"/>
        <v>勝ち</v>
      </c>
      <c r="R11" s="44">
        <f t="shared" si="2"/>
        <v>27.300000000001035</v>
      </c>
      <c r="S11" s="45">
        <f t="shared" si="3"/>
        <v>340000</v>
      </c>
      <c r="T11" s="46">
        <f t="shared" si="4"/>
        <v>67.00000000000017</v>
      </c>
      <c r="U11" s="47">
        <f t="shared" si="5"/>
        <v>0</v>
      </c>
      <c r="V11" s="48">
        <f t="shared" si="6"/>
        <v>227800.00000000058</v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>
        <v>3323459</v>
      </c>
      <c r="C12" s="204">
        <v>0.03</v>
      </c>
      <c r="D12" s="34" t="s">
        <v>114</v>
      </c>
      <c r="E12" s="35" t="s">
        <v>115</v>
      </c>
      <c r="F12" s="36" t="s">
        <v>117</v>
      </c>
      <c r="G12" s="36" t="s">
        <v>116</v>
      </c>
      <c r="H12" s="36" t="s">
        <v>113</v>
      </c>
      <c r="I12" s="37">
        <v>41016.833333333336</v>
      </c>
      <c r="J12" s="38">
        <v>80.8</v>
      </c>
      <c r="K12" s="38">
        <v>80.63</v>
      </c>
      <c r="L12" s="39">
        <f t="shared" si="0"/>
        <v>80.97</v>
      </c>
      <c r="M12" s="36" t="s">
        <v>116</v>
      </c>
      <c r="N12" s="37">
        <v>41019.666666666664</v>
      </c>
      <c r="O12" s="38">
        <v>81.554</v>
      </c>
      <c r="P12" s="53" t="s">
        <v>118</v>
      </c>
      <c r="Q12" s="43" t="str">
        <f t="shared" si="1"/>
        <v>勝ち</v>
      </c>
      <c r="R12" s="44">
        <f t="shared" si="2"/>
        <v>17.00000000000017</v>
      </c>
      <c r="S12" s="45">
        <f t="shared" si="3"/>
        <v>586000</v>
      </c>
      <c r="T12" s="46">
        <f t="shared" si="4"/>
        <v>75.40000000000049</v>
      </c>
      <c r="U12" s="47">
        <f t="shared" si="5"/>
        <v>0</v>
      </c>
      <c r="V12" s="48">
        <f t="shared" si="6"/>
        <v>441844.00000000285</v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>
        <v>3765303</v>
      </c>
      <c r="C13" s="204">
        <v>0.03</v>
      </c>
      <c r="D13" s="34" t="s">
        <v>114</v>
      </c>
      <c r="E13" s="35" t="s">
        <v>115</v>
      </c>
      <c r="F13" s="36" t="s">
        <v>117</v>
      </c>
      <c r="G13" s="36" t="s">
        <v>116</v>
      </c>
      <c r="H13" s="36" t="s">
        <v>102</v>
      </c>
      <c r="I13" s="37">
        <v>41045.666666666664</v>
      </c>
      <c r="J13" s="38">
        <v>80.349</v>
      </c>
      <c r="K13" s="38">
        <v>80.543</v>
      </c>
      <c r="L13" s="39">
        <f t="shared" si="0"/>
        <v>80.179</v>
      </c>
      <c r="M13" s="36" t="s">
        <v>116</v>
      </c>
      <c r="N13" s="37">
        <v>41051.166666666664</v>
      </c>
      <c r="O13" s="38">
        <v>79.442</v>
      </c>
      <c r="P13" s="53" t="s">
        <v>119</v>
      </c>
      <c r="Q13" s="43" t="str">
        <f t="shared" si="1"/>
        <v>勝ち</v>
      </c>
      <c r="R13" s="44">
        <f t="shared" si="2"/>
        <v>19.40000000000026</v>
      </c>
      <c r="S13" s="45">
        <f t="shared" si="3"/>
        <v>582000</v>
      </c>
      <c r="T13" s="46">
        <f t="shared" si="4"/>
        <v>90.70000000000107</v>
      </c>
      <c r="U13" s="47">
        <f t="shared" si="5"/>
        <v>0</v>
      </c>
      <c r="V13" s="48">
        <f t="shared" si="6"/>
        <v>527874.0000000062</v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>
        <v>4293177</v>
      </c>
      <c r="C14" s="204">
        <v>0.03</v>
      </c>
      <c r="D14" s="34" t="s">
        <v>114</v>
      </c>
      <c r="E14" s="35" t="s">
        <v>115</v>
      </c>
      <c r="F14" s="36" t="s">
        <v>117</v>
      </c>
      <c r="G14" s="36" t="s">
        <v>116</v>
      </c>
      <c r="H14" s="36" t="s">
        <v>102</v>
      </c>
      <c r="I14" s="37">
        <v>41052</v>
      </c>
      <c r="J14" s="38">
        <v>79.872</v>
      </c>
      <c r="K14" s="38">
        <v>80.14</v>
      </c>
      <c r="L14" s="39">
        <f t="shared" si="0"/>
        <v>79.702</v>
      </c>
      <c r="M14" s="36" t="s">
        <v>116</v>
      </c>
      <c r="N14" s="37">
        <v>41065.166666666664</v>
      </c>
      <c r="O14" s="38">
        <v>78.44</v>
      </c>
      <c r="P14" s="53" t="s">
        <v>119</v>
      </c>
      <c r="Q14" s="43" t="str">
        <f t="shared" si="1"/>
        <v>勝ち</v>
      </c>
      <c r="R14" s="44">
        <f t="shared" si="2"/>
        <v>26.800000000000068</v>
      </c>
      <c r="S14" s="45">
        <f t="shared" si="3"/>
        <v>480000</v>
      </c>
      <c r="T14" s="46">
        <f t="shared" si="4"/>
        <v>143.20000000000022</v>
      </c>
      <c r="U14" s="47">
        <f t="shared" si="5"/>
        <v>0</v>
      </c>
      <c r="V14" s="48">
        <f t="shared" si="6"/>
        <v>687360.000000001</v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>
        <v>4980537</v>
      </c>
      <c r="C15" s="204">
        <v>0.03</v>
      </c>
      <c r="D15" s="34" t="s">
        <v>114</v>
      </c>
      <c r="E15" s="35" t="s">
        <v>115</v>
      </c>
      <c r="F15" s="36" t="s">
        <v>117</v>
      </c>
      <c r="G15" s="36" t="s">
        <v>116</v>
      </c>
      <c r="H15" s="36" t="s">
        <v>113</v>
      </c>
      <c r="I15" s="37">
        <v>41066.166666666664</v>
      </c>
      <c r="J15" s="38">
        <v>78.793</v>
      </c>
      <c r="K15" s="38">
        <v>78.559</v>
      </c>
      <c r="L15" s="39">
        <f t="shared" si="0"/>
        <v>78.96300000000001</v>
      </c>
      <c r="M15" s="36" t="s">
        <v>116</v>
      </c>
      <c r="N15" s="37">
        <v>41073.5</v>
      </c>
      <c r="O15" s="38">
        <v>79.513</v>
      </c>
      <c r="P15" s="53" t="s">
        <v>118</v>
      </c>
      <c r="Q15" s="43" t="str">
        <f t="shared" si="1"/>
        <v>勝ち</v>
      </c>
      <c r="R15" s="44">
        <f t="shared" si="2"/>
        <v>23.400000000000887</v>
      </c>
      <c r="S15" s="45">
        <f t="shared" si="3"/>
        <v>638000</v>
      </c>
      <c r="T15" s="46">
        <f t="shared" si="4"/>
        <v>71.99999999999989</v>
      </c>
      <c r="U15" s="47">
        <f t="shared" si="5"/>
        <v>0</v>
      </c>
      <c r="V15" s="48">
        <f t="shared" si="6"/>
        <v>459359.9999999993</v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>
        <v>5439897</v>
      </c>
      <c r="C16" s="204">
        <v>0.03</v>
      </c>
      <c r="D16" s="34" t="s">
        <v>114</v>
      </c>
      <c r="E16" s="35" t="s">
        <v>115</v>
      </c>
      <c r="F16" s="36" t="s">
        <v>117</v>
      </c>
      <c r="G16" s="36" t="s">
        <v>116</v>
      </c>
      <c r="H16" s="36" t="s">
        <v>102</v>
      </c>
      <c r="I16" s="37">
        <v>41106</v>
      </c>
      <c r="J16" s="38">
        <v>79.13</v>
      </c>
      <c r="K16" s="38">
        <v>79.29</v>
      </c>
      <c r="L16" s="39">
        <f t="shared" si="0"/>
        <v>78.96</v>
      </c>
      <c r="M16" s="36" t="s">
        <v>116</v>
      </c>
      <c r="N16" s="37">
        <v>41115.333333333336</v>
      </c>
      <c r="O16" s="38">
        <v>78.24</v>
      </c>
      <c r="P16" s="53" t="s">
        <v>119</v>
      </c>
      <c r="Q16" s="43" t="str">
        <f t="shared" si="1"/>
        <v>勝ち</v>
      </c>
      <c r="R16" s="44">
        <f t="shared" si="2"/>
        <v>16.00000000000108</v>
      </c>
      <c r="S16" s="45">
        <f t="shared" si="3"/>
        <v>1019000</v>
      </c>
      <c r="T16" s="46">
        <f t="shared" si="4"/>
        <v>89.00000000000006</v>
      </c>
      <c r="U16" s="47">
        <f t="shared" si="5"/>
        <v>0</v>
      </c>
      <c r="V16" s="48">
        <f t="shared" si="6"/>
        <v>906910.0000000006</v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>
        <v>6346807</v>
      </c>
      <c r="C17" s="204">
        <v>0.03</v>
      </c>
      <c r="D17" s="34" t="s">
        <v>114</v>
      </c>
      <c r="E17" s="35" t="s">
        <v>115</v>
      </c>
      <c r="F17" s="36" t="s">
        <v>117</v>
      </c>
      <c r="G17" s="36" t="s">
        <v>116</v>
      </c>
      <c r="H17" s="36" t="s">
        <v>102</v>
      </c>
      <c r="I17" s="37">
        <v>41142.666666666664</v>
      </c>
      <c r="J17" s="38">
        <v>79.31</v>
      </c>
      <c r="K17" s="38">
        <v>79.53</v>
      </c>
      <c r="L17" s="39">
        <f t="shared" si="0"/>
        <v>79.14</v>
      </c>
      <c r="M17" s="36" t="s">
        <v>116</v>
      </c>
      <c r="N17" s="37">
        <v>41166.333333333336</v>
      </c>
      <c r="O17" s="38">
        <v>77.67</v>
      </c>
      <c r="P17" s="53" t="s">
        <v>119</v>
      </c>
      <c r="Q17" s="43" t="str">
        <f t="shared" si="1"/>
        <v>勝ち</v>
      </c>
      <c r="R17" s="44">
        <f t="shared" si="2"/>
        <v>21.999999999999886</v>
      </c>
      <c r="S17" s="45">
        <f t="shared" si="3"/>
        <v>865000</v>
      </c>
      <c r="T17" s="46">
        <f t="shared" si="4"/>
        <v>164.00000000000006</v>
      </c>
      <c r="U17" s="47">
        <f t="shared" si="5"/>
        <v>0</v>
      </c>
      <c r="V17" s="48">
        <f t="shared" si="6"/>
        <v>1418600.0000000005</v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>
        <v>7765407</v>
      </c>
      <c r="C18" s="204">
        <v>0.03</v>
      </c>
      <c r="D18" s="34" t="s">
        <v>114</v>
      </c>
      <c r="E18" s="35" t="s">
        <v>115</v>
      </c>
      <c r="F18" s="36" t="s">
        <v>117</v>
      </c>
      <c r="G18" s="36" t="s">
        <v>116</v>
      </c>
      <c r="H18" s="36" t="s">
        <v>102</v>
      </c>
      <c r="I18" s="37">
        <v>41172.166666666664</v>
      </c>
      <c r="J18" s="38">
        <v>78.34</v>
      </c>
      <c r="K18" s="38">
        <v>78.46</v>
      </c>
      <c r="L18" s="39">
        <f t="shared" si="0"/>
        <v>78.17</v>
      </c>
      <c r="M18" s="36" t="s">
        <v>116</v>
      </c>
      <c r="N18" s="37">
        <v>41180.333333333336</v>
      </c>
      <c r="O18" s="38">
        <v>77.7</v>
      </c>
      <c r="P18" s="53" t="s">
        <v>120</v>
      </c>
      <c r="Q18" s="43" t="str">
        <f t="shared" si="1"/>
        <v>勝ち</v>
      </c>
      <c r="R18" s="44">
        <f t="shared" si="2"/>
        <v>11.999999999999034</v>
      </c>
      <c r="S18" s="45">
        <f t="shared" si="3"/>
        <v>1941000</v>
      </c>
      <c r="T18" s="46">
        <f t="shared" si="4"/>
        <v>64.00000000000006</v>
      </c>
      <c r="U18" s="47">
        <f t="shared" si="5"/>
        <v>0</v>
      </c>
      <c r="V18" s="48">
        <f t="shared" si="6"/>
        <v>1242240.0000000012</v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>
        <v>9007647</v>
      </c>
      <c r="C19" s="204">
        <v>0.03</v>
      </c>
      <c r="D19" s="34" t="s">
        <v>114</v>
      </c>
      <c r="E19" s="35" t="s">
        <v>115</v>
      </c>
      <c r="F19" s="36" t="s">
        <v>117</v>
      </c>
      <c r="G19" s="36" t="s">
        <v>116</v>
      </c>
      <c r="H19" s="36" t="s">
        <v>113</v>
      </c>
      <c r="I19" s="37">
        <v>41184.833333333336</v>
      </c>
      <c r="J19" s="38">
        <v>78.12</v>
      </c>
      <c r="K19" s="38">
        <v>77.96</v>
      </c>
      <c r="L19" s="39">
        <f t="shared" si="0"/>
        <v>78.29</v>
      </c>
      <c r="M19" s="36" t="s">
        <v>116</v>
      </c>
      <c r="N19" s="37">
        <v>41190.166666666664</v>
      </c>
      <c r="O19" s="38">
        <v>78.59</v>
      </c>
      <c r="P19" s="53" t="s">
        <v>118</v>
      </c>
      <c r="Q19" s="43" t="str">
        <f t="shared" si="1"/>
        <v>勝ち</v>
      </c>
      <c r="R19" s="44">
        <f t="shared" si="2"/>
        <v>16.00000000000108</v>
      </c>
      <c r="S19" s="45">
        <f t="shared" si="3"/>
        <v>1688000</v>
      </c>
      <c r="T19" s="46">
        <f t="shared" si="4"/>
        <v>46.999999999999886</v>
      </c>
      <c r="U19" s="47">
        <f t="shared" si="5"/>
        <v>0</v>
      </c>
      <c r="V19" s="48">
        <f t="shared" si="6"/>
        <v>793359.9999999981</v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>
        <v>9801007</v>
      </c>
      <c r="C20" s="204">
        <v>0.03</v>
      </c>
      <c r="D20" s="34" t="s">
        <v>114</v>
      </c>
      <c r="E20" s="35" t="s">
        <v>115</v>
      </c>
      <c r="F20" s="36" t="s">
        <v>117</v>
      </c>
      <c r="G20" s="36" t="s">
        <v>116</v>
      </c>
      <c r="H20" s="36" t="s">
        <v>113</v>
      </c>
      <c r="I20" s="37">
        <v>41187.166666666664</v>
      </c>
      <c r="J20" s="38">
        <v>78.49</v>
      </c>
      <c r="K20" s="38">
        <v>78.32</v>
      </c>
      <c r="L20" s="39">
        <f t="shared" si="0"/>
        <v>78.66</v>
      </c>
      <c r="M20" s="36" t="s">
        <v>116</v>
      </c>
      <c r="N20" s="37">
        <v>41208.333333333336</v>
      </c>
      <c r="O20" s="38">
        <v>79.94</v>
      </c>
      <c r="P20" s="53" t="s">
        <v>118</v>
      </c>
      <c r="Q20" s="43" t="str">
        <f t="shared" si="1"/>
        <v>勝ち</v>
      </c>
      <c r="R20" s="44">
        <f t="shared" si="2"/>
        <v>17.00000000000017</v>
      </c>
      <c r="S20" s="45">
        <f t="shared" si="3"/>
        <v>1729000</v>
      </c>
      <c r="T20" s="46">
        <f t="shared" si="4"/>
        <v>145.00000000000028</v>
      </c>
      <c r="U20" s="47">
        <f t="shared" si="5"/>
        <v>0</v>
      </c>
      <c r="V20" s="48">
        <f t="shared" si="6"/>
        <v>2507050.000000005</v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>
        <v>12308057</v>
      </c>
      <c r="C21" s="204">
        <v>0.03</v>
      </c>
      <c r="D21" s="34" t="s">
        <v>114</v>
      </c>
      <c r="E21" s="35" t="s">
        <v>115</v>
      </c>
      <c r="F21" s="36" t="s">
        <v>117</v>
      </c>
      <c r="G21" s="36" t="s">
        <v>116</v>
      </c>
      <c r="H21" s="36" t="s">
        <v>102</v>
      </c>
      <c r="I21" s="37">
        <v>41220</v>
      </c>
      <c r="J21" s="38">
        <v>80.32</v>
      </c>
      <c r="K21" s="38">
        <v>80.45</v>
      </c>
      <c r="L21" s="39">
        <f t="shared" si="0"/>
        <v>80.14999999999999</v>
      </c>
      <c r="M21" s="36" t="s">
        <v>116</v>
      </c>
      <c r="N21" s="37">
        <v>41222.166666666664</v>
      </c>
      <c r="O21" s="38">
        <v>79.57</v>
      </c>
      <c r="P21" s="53" t="s">
        <v>119</v>
      </c>
      <c r="Q21" s="43" t="str">
        <f t="shared" si="1"/>
        <v>勝ち</v>
      </c>
      <c r="R21" s="44">
        <f t="shared" si="2"/>
        <v>13.000000000000966</v>
      </c>
      <c r="S21" s="45">
        <f t="shared" si="3"/>
        <v>2840000</v>
      </c>
      <c r="T21" s="46">
        <f t="shared" si="4"/>
        <v>75</v>
      </c>
      <c r="U21" s="47">
        <f t="shared" si="5"/>
        <v>0</v>
      </c>
      <c r="V21" s="48">
        <f t="shared" si="6"/>
        <v>2130000</v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>
        <v>14438057</v>
      </c>
      <c r="C22" s="204">
        <v>0.03</v>
      </c>
      <c r="D22" s="34" t="s">
        <v>114</v>
      </c>
      <c r="E22" s="35" t="s">
        <v>115</v>
      </c>
      <c r="F22" s="36" t="s">
        <v>117</v>
      </c>
      <c r="G22" s="36" t="s">
        <v>116</v>
      </c>
      <c r="H22" s="36" t="s">
        <v>113</v>
      </c>
      <c r="I22" s="37">
        <v>41227.333333333336</v>
      </c>
      <c r="J22" s="38">
        <v>79.54</v>
      </c>
      <c r="K22" s="38">
        <v>79.44</v>
      </c>
      <c r="L22" s="39">
        <f t="shared" si="0"/>
        <v>79.71000000000001</v>
      </c>
      <c r="M22" s="36" t="s">
        <v>116</v>
      </c>
      <c r="N22" s="37">
        <v>41233.333333333336</v>
      </c>
      <c r="O22" s="38">
        <v>81.26</v>
      </c>
      <c r="P22" s="53" t="s">
        <v>118</v>
      </c>
      <c r="Q22" s="43" t="str">
        <f t="shared" si="1"/>
        <v>勝ち</v>
      </c>
      <c r="R22" s="44">
        <f t="shared" si="2"/>
        <v>10.000000000000853</v>
      </c>
      <c r="S22" s="45">
        <f t="shared" si="3"/>
        <v>4331000</v>
      </c>
      <c r="T22" s="46">
        <f t="shared" si="4"/>
        <v>171.9999999999999</v>
      </c>
      <c r="U22" s="47">
        <f t="shared" si="5"/>
        <v>0</v>
      </c>
      <c r="V22" s="48">
        <f t="shared" si="6"/>
        <v>7449319.999999995</v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>
        <v>21887377</v>
      </c>
      <c r="C23" s="204">
        <v>0.03</v>
      </c>
      <c r="D23" s="34" t="s">
        <v>114</v>
      </c>
      <c r="E23" s="35" t="s">
        <v>115</v>
      </c>
      <c r="F23" s="36" t="s">
        <v>117</v>
      </c>
      <c r="G23" s="36" t="s">
        <v>116</v>
      </c>
      <c r="H23" s="36" t="s">
        <v>113</v>
      </c>
      <c r="I23" s="37">
        <v>41233.5</v>
      </c>
      <c r="J23" s="38">
        <v>81.33</v>
      </c>
      <c r="K23" s="38">
        <v>81.12</v>
      </c>
      <c r="L23" s="39">
        <f t="shared" si="0"/>
        <v>81.5</v>
      </c>
      <c r="M23" s="36" t="s">
        <v>116</v>
      </c>
      <c r="N23" s="37">
        <v>41236</v>
      </c>
      <c r="O23" s="38">
        <v>82.25</v>
      </c>
      <c r="P23" s="53" t="s">
        <v>118</v>
      </c>
      <c r="Q23" s="43" t="str">
        <f t="shared" si="1"/>
        <v>勝ち</v>
      </c>
      <c r="R23" s="44">
        <f t="shared" si="2"/>
        <v>20.999999999999375</v>
      </c>
      <c r="S23" s="45">
        <f t="shared" si="3"/>
        <v>3126000</v>
      </c>
      <c r="T23" s="46">
        <f t="shared" si="4"/>
        <v>92.00000000000017</v>
      </c>
      <c r="U23" s="47">
        <f t="shared" si="5"/>
        <v>0</v>
      </c>
      <c r="V23" s="48">
        <f t="shared" si="6"/>
        <v>2875920.000000005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>
        <v>24763297</v>
      </c>
      <c r="C24" s="204">
        <v>0.03</v>
      </c>
      <c r="D24" s="34" t="s">
        <v>114</v>
      </c>
      <c r="E24" s="35" t="s">
        <v>115</v>
      </c>
      <c r="F24" s="36" t="s">
        <v>117</v>
      </c>
      <c r="G24" s="36" t="s">
        <v>116</v>
      </c>
      <c r="H24" s="36" t="s">
        <v>113</v>
      </c>
      <c r="I24" s="37">
        <v>41241.833333333336</v>
      </c>
      <c r="J24" s="38">
        <v>81.95</v>
      </c>
      <c r="K24" s="38">
        <v>81.7</v>
      </c>
      <c r="L24" s="39">
        <f t="shared" si="0"/>
        <v>82.12</v>
      </c>
      <c r="M24" s="36" t="s">
        <v>116</v>
      </c>
      <c r="N24" s="37">
        <v>41263</v>
      </c>
      <c r="O24" s="38">
        <v>84.2</v>
      </c>
      <c r="P24" s="53" t="s">
        <v>118</v>
      </c>
      <c r="Q24" s="43" t="str">
        <f t="shared" si="1"/>
        <v>勝ち</v>
      </c>
      <c r="R24" s="44">
        <f t="shared" si="2"/>
        <v>25</v>
      </c>
      <c r="S24" s="45">
        <f t="shared" si="3"/>
        <v>2971000</v>
      </c>
      <c r="T24" s="46">
        <f t="shared" si="4"/>
        <v>225</v>
      </c>
      <c r="U24" s="47">
        <f t="shared" si="5"/>
        <v>0</v>
      </c>
      <c r="V24" s="48">
        <f t="shared" si="6"/>
        <v>6684750</v>
      </c>
    </row>
    <row r="25" spans="1:22" ht="13.5">
      <c r="A25" s="52">
        <v>21</v>
      </c>
      <c r="B25" s="226">
        <v>31448047</v>
      </c>
      <c r="C25" s="204">
        <v>0.03</v>
      </c>
      <c r="D25" s="34" t="s">
        <v>114</v>
      </c>
      <c r="E25" s="35" t="s">
        <v>115</v>
      </c>
      <c r="F25" s="36" t="s">
        <v>117</v>
      </c>
      <c r="G25" s="36" t="s">
        <v>116</v>
      </c>
      <c r="H25" s="36" t="s">
        <v>113</v>
      </c>
      <c r="I25" s="37">
        <v>41264.333333333336</v>
      </c>
      <c r="J25" s="38">
        <v>84.24</v>
      </c>
      <c r="K25" s="38">
        <v>83.85</v>
      </c>
      <c r="L25" s="39">
        <f t="shared" si="0"/>
        <v>84.41</v>
      </c>
      <c r="M25" s="36" t="s">
        <v>116</v>
      </c>
      <c r="N25" s="37">
        <v>41282</v>
      </c>
      <c r="O25" s="38">
        <v>87.598</v>
      </c>
      <c r="P25" s="53" t="s">
        <v>118</v>
      </c>
      <c r="Q25" s="43" t="str">
        <f t="shared" si="1"/>
        <v>勝ち</v>
      </c>
      <c r="R25" s="44">
        <f t="shared" si="2"/>
        <v>39.00000000000006</v>
      </c>
      <c r="S25" s="45">
        <f t="shared" si="3"/>
        <v>2419000</v>
      </c>
      <c r="T25" s="46">
        <f t="shared" si="4"/>
        <v>335.8000000000004</v>
      </c>
      <c r="U25" s="47">
        <f t="shared" si="5"/>
        <v>0</v>
      </c>
      <c r="V25" s="48">
        <f t="shared" si="6"/>
        <v>8123002.00000001</v>
      </c>
    </row>
    <row r="26" spans="1:22" ht="13.5">
      <c r="A26" s="52">
        <v>22</v>
      </c>
      <c r="B26" s="226">
        <v>39571049</v>
      </c>
      <c r="C26" s="204">
        <v>0.03</v>
      </c>
      <c r="D26" s="34" t="s">
        <v>114</v>
      </c>
      <c r="E26" s="35" t="s">
        <v>115</v>
      </c>
      <c r="F26" s="36" t="s">
        <v>117</v>
      </c>
      <c r="G26" s="36" t="s">
        <v>116</v>
      </c>
      <c r="H26" s="36" t="s">
        <v>113</v>
      </c>
      <c r="I26" s="232">
        <v>41284.833333333336</v>
      </c>
      <c r="J26" s="38">
        <v>88.282</v>
      </c>
      <c r="K26" s="38">
        <v>87.986</v>
      </c>
      <c r="L26" s="39">
        <f t="shared" si="0"/>
        <v>88.452</v>
      </c>
      <c r="M26" s="36" t="s">
        <v>116</v>
      </c>
      <c r="N26" s="37">
        <v>41295</v>
      </c>
      <c r="O26" s="38">
        <v>89.768</v>
      </c>
      <c r="P26" s="53" t="s">
        <v>118</v>
      </c>
      <c r="Q26" s="43" t="str">
        <f t="shared" si="1"/>
        <v>勝ち</v>
      </c>
      <c r="R26" s="44">
        <f t="shared" si="2"/>
        <v>29.599999999999227</v>
      </c>
      <c r="S26" s="45">
        <f t="shared" si="3"/>
        <v>4010000</v>
      </c>
      <c r="T26" s="46">
        <f t="shared" si="4"/>
        <v>148.60000000000042</v>
      </c>
      <c r="U26" s="47">
        <f t="shared" si="5"/>
        <v>0</v>
      </c>
      <c r="V26" s="48">
        <f t="shared" si="6"/>
        <v>5958860.000000017</v>
      </c>
    </row>
    <row r="27" spans="1:22" ht="13.5">
      <c r="A27" s="52">
        <v>23</v>
      </c>
      <c r="B27" s="226">
        <v>45529909</v>
      </c>
      <c r="C27" s="204">
        <v>0.03</v>
      </c>
      <c r="D27" s="34" t="s">
        <v>114</v>
      </c>
      <c r="E27" s="35" t="s">
        <v>115</v>
      </c>
      <c r="F27" s="36" t="s">
        <v>117</v>
      </c>
      <c r="G27" s="36" t="s">
        <v>116</v>
      </c>
      <c r="H27" s="36" t="s">
        <v>113</v>
      </c>
      <c r="I27" s="37">
        <v>41297.5</v>
      </c>
      <c r="J27" s="38">
        <v>88.45</v>
      </c>
      <c r="K27" s="38">
        <v>88.056</v>
      </c>
      <c r="L27" s="39">
        <f t="shared" si="0"/>
        <v>88.62</v>
      </c>
      <c r="M27" s="36" t="s">
        <v>116</v>
      </c>
      <c r="N27" s="37">
        <v>41303</v>
      </c>
      <c r="O27" s="38">
        <v>90.669</v>
      </c>
      <c r="P27" s="53" t="s">
        <v>118</v>
      </c>
      <c r="Q27" s="43" t="str">
        <f t="shared" si="1"/>
        <v>勝ち</v>
      </c>
      <c r="R27" s="44">
        <f t="shared" si="2"/>
        <v>39.400000000000546</v>
      </c>
      <c r="S27" s="45">
        <f t="shared" si="3"/>
        <v>3466000</v>
      </c>
      <c r="T27" s="46">
        <f t="shared" si="4"/>
        <v>221.8999999999994</v>
      </c>
      <c r="U27" s="47">
        <f t="shared" si="5"/>
        <v>0</v>
      </c>
      <c r="V27" s="48">
        <f t="shared" si="6"/>
        <v>7691053.9999999795</v>
      </c>
    </row>
    <row r="28" spans="1:22" ht="13.5">
      <c r="A28" s="52">
        <v>24</v>
      </c>
      <c r="B28" s="226">
        <v>53220963</v>
      </c>
      <c r="C28" s="204">
        <v>0.03</v>
      </c>
      <c r="D28" s="34" t="s">
        <v>114</v>
      </c>
      <c r="E28" s="35" t="s">
        <v>115</v>
      </c>
      <c r="F28" s="36" t="s">
        <v>117</v>
      </c>
      <c r="G28" s="36" t="s">
        <v>116</v>
      </c>
      <c r="H28" s="36" t="s">
        <v>113</v>
      </c>
      <c r="I28" s="37">
        <v>41305.166666666664</v>
      </c>
      <c r="J28" s="38">
        <v>91.389</v>
      </c>
      <c r="K28" s="38">
        <v>90.849</v>
      </c>
      <c r="L28" s="39">
        <f t="shared" si="0"/>
        <v>91.559</v>
      </c>
      <c r="M28" s="36" t="s">
        <v>116</v>
      </c>
      <c r="N28" s="37">
        <v>41313.333333333336</v>
      </c>
      <c r="O28" s="38">
        <v>93.082</v>
      </c>
      <c r="P28" s="53" t="s">
        <v>118</v>
      </c>
      <c r="Q28" s="43" t="str">
        <f t="shared" si="1"/>
        <v>勝ち</v>
      </c>
      <c r="R28" s="44">
        <f t="shared" si="2"/>
        <v>53.999999999999204</v>
      </c>
      <c r="S28" s="45">
        <f t="shared" si="3"/>
        <v>2956000</v>
      </c>
      <c r="T28" s="46">
        <f t="shared" si="4"/>
        <v>169.29999999999978</v>
      </c>
      <c r="U28" s="47">
        <f t="shared" si="5"/>
        <v>0</v>
      </c>
      <c r="V28" s="48">
        <f t="shared" si="6"/>
        <v>5004507.9999999935</v>
      </c>
    </row>
    <row r="29" spans="1:22" ht="13.5">
      <c r="A29" s="52">
        <v>25</v>
      </c>
      <c r="B29" s="226">
        <v>58225471</v>
      </c>
      <c r="C29" s="204">
        <v>0.03</v>
      </c>
      <c r="D29" s="34" t="s">
        <v>114</v>
      </c>
      <c r="E29" s="35" t="s">
        <v>115</v>
      </c>
      <c r="F29" s="36" t="s">
        <v>117</v>
      </c>
      <c r="G29" s="36" t="s">
        <v>116</v>
      </c>
      <c r="H29" s="36" t="s">
        <v>102</v>
      </c>
      <c r="I29" s="37">
        <v>41376.166666666664</v>
      </c>
      <c r="J29" s="38">
        <v>99.6</v>
      </c>
      <c r="K29" s="38">
        <v>99.944</v>
      </c>
      <c r="L29" s="39">
        <f t="shared" si="0"/>
        <v>99.42999999999999</v>
      </c>
      <c r="M29" s="36" t="s">
        <v>116</v>
      </c>
      <c r="N29" s="37">
        <v>41381</v>
      </c>
      <c r="O29" s="38">
        <v>97.777</v>
      </c>
      <c r="P29" s="53" t="s">
        <v>119</v>
      </c>
      <c r="Q29" s="43" t="str">
        <f t="shared" si="1"/>
        <v>勝ち</v>
      </c>
      <c r="R29" s="44">
        <f t="shared" si="2"/>
        <v>34.40000000000083</v>
      </c>
      <c r="S29" s="45">
        <f t="shared" si="3"/>
        <v>5077000</v>
      </c>
      <c r="T29" s="46">
        <f t="shared" si="4"/>
        <v>182.29999999999933</v>
      </c>
      <c r="U29" s="47">
        <f t="shared" si="5"/>
        <v>0</v>
      </c>
      <c r="V29" s="48">
        <f t="shared" si="6"/>
        <v>9255370.999999966</v>
      </c>
    </row>
    <row r="30" spans="1:22" ht="13.5">
      <c r="A30" s="52">
        <v>26</v>
      </c>
      <c r="B30" s="226">
        <v>67480842</v>
      </c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>IF(K32="",0,ROUNDDOWN((B32*C32)/(VLOOKUP(E32,$X$5:$AA$23,4,FALSE)*R32),-3))</f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4">
        <f>SUM(T5:T124)+SUM(U5:U124)</f>
        <v>3649.0000000000005</v>
      </c>
      <c r="U125" s="264"/>
      <c r="V125" s="77">
        <f>SUM(V5:V124)</f>
        <v>66480841.99999997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5" t="s">
        <v>34</v>
      </c>
      <c r="G128" s="266"/>
      <c r="H128" s="267"/>
      <c r="J128" s="268" t="s">
        <v>82</v>
      </c>
      <c r="K128" s="269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0"/>
      <c r="H129" s="271"/>
      <c r="J129" s="218" t="s">
        <v>109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15</v>
      </c>
      <c r="H130" s="259"/>
      <c r="J130" s="218" t="s">
        <v>110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10</v>
      </c>
      <c r="H131" s="259"/>
      <c r="J131" s="218" t="s">
        <v>111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25</v>
      </c>
      <c r="H133" s="259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0">
        <f>COUNTIF(Q5:Q124,"負け")</f>
        <v>0</v>
      </c>
      <c r="H134" s="261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0">
        <f>COUNTIF(Q5:Q124,"ドロー")</f>
        <v>0</v>
      </c>
      <c r="H135" s="261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0">
        <f>COUNTIF(Q5:Q124,"保留中")</f>
        <v>0</v>
      </c>
      <c r="H136" s="261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1">
        <f>SUMIF(Q5:Q124,"勝ち",V5:V124)</f>
        <v>66480841.99999997</v>
      </c>
      <c r="H137" s="25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3">
        <f>SUMIF(Q5:Q124,"負け",V5:V124)</f>
        <v>0</v>
      </c>
      <c r="H138" s="254"/>
      <c r="J138" s="255" t="s">
        <v>51</v>
      </c>
      <c r="K138" s="255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1">
        <f>G137+G138</f>
        <v>66480841.99999997</v>
      </c>
      <c r="H139" s="252"/>
      <c r="J139" s="218" t="s">
        <v>103</v>
      </c>
      <c r="K139" s="82">
        <f aca="true" t="shared" si="17" ref="K139:K144">COUNTIF($F$5:$F$124,J139)</f>
        <v>0</v>
      </c>
      <c r="L139" s="82">
        <f>_xlfn.COUNTIFS($H$5:$H$124,"買い",$F$5:$F$124,J139)</f>
        <v>0</v>
      </c>
      <c r="M139" s="83">
        <f>_xlfn.COUNTIFS($F$5:$F$124,J139,$H$5:$H$124,"売り")</f>
        <v>0</v>
      </c>
      <c r="N139" s="84">
        <f aca="true" t="shared" si="18" ref="N139:N144">SUMIF($F$5:$F$124,J139,$T$5:$T$124)+SUMIF($F$5:$F$124,J139,$U$5:$U$124)</f>
        <v>0</v>
      </c>
      <c r="O139" s="160" t="e">
        <f>_xlfn.COUNTIFS($Q$5:$Q$124,"勝ち",$F$5:$F$124,J139)/(COUNTIF($F$5:$F$124,J139)-_xlfn.COUNTIFS($F$5:$F$124,J139,$Q$5:$Q$124,"ドロー"))*100</f>
        <v>#DIV/0!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6">
        <f>G137/COUNTA(H5:H124)</f>
        <v>2659233.679999999</v>
      </c>
      <c r="H140" s="257"/>
      <c r="J140" s="218" t="s">
        <v>108</v>
      </c>
      <c r="K140" s="82">
        <f t="shared" si="17"/>
        <v>25</v>
      </c>
      <c r="L140" s="82">
        <f>_xlfn.COUNTIFS($H$5:$H$124,"買い",$F$5:$F$124,J140)</f>
        <v>15</v>
      </c>
      <c r="M140" s="83">
        <f>_xlfn.COUNTIFS($F$5:$F$124,J140,$H$5:$H$124,"売り")</f>
        <v>10</v>
      </c>
      <c r="N140" s="84">
        <f t="shared" si="18"/>
        <v>3649.0000000000005</v>
      </c>
      <c r="O140" s="160">
        <f>_xlfn.COUNTIFS($Q$5:$Q$124,"勝ち",$F$5:$F$124,J140)/(COUNTIF($F$5:$F$124,J140)-_xlfn.COUNTIFS($F$5:$F$124,J140,$Q$5:$Q$124,"ドロー"))*100</f>
        <v>100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6">
        <f>G139/COUNTA(H5:H124)</f>
        <v>2659233.679999999</v>
      </c>
      <c r="H141" s="257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5"/>
      <c r="H142" s="246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5"/>
      <c r="H143" s="246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7">
        <f>MAX(T5:T124)</f>
        <v>387.9000000000005</v>
      </c>
      <c r="H144" s="248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9">
        <f>G133/(G132-G135)</f>
        <v>1</v>
      </c>
      <c r="H145" s="250"/>
      <c r="J145" s="85" t="s">
        <v>33</v>
      </c>
      <c r="K145" s="86">
        <f>SUM(K139:K144)</f>
        <v>25</v>
      </c>
      <c r="L145" s="86">
        <f>SUM(L139:L144)</f>
        <v>15</v>
      </c>
      <c r="M145" s="86">
        <f>SUM(M139:M144)</f>
        <v>10</v>
      </c>
      <c r="N145" s="80">
        <f>SUM(N139:N144)</f>
        <v>3649.0000000000005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A2:B2"/>
    <mergeCell ref="C2:F2"/>
    <mergeCell ref="G2:H2"/>
    <mergeCell ref="A3:B3"/>
    <mergeCell ref="C3:F3"/>
    <mergeCell ref="G3:K3"/>
    <mergeCell ref="D4:E4"/>
    <mergeCell ref="T125:U125"/>
    <mergeCell ref="F128:H128"/>
    <mergeCell ref="J128:K128"/>
    <mergeCell ref="G129:H129"/>
    <mergeCell ref="G130:H130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G142:H142"/>
    <mergeCell ref="G143:H143"/>
    <mergeCell ref="G144:H144"/>
    <mergeCell ref="G145:H145"/>
    <mergeCell ref="G137:H137"/>
    <mergeCell ref="G138:H138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30" sqref="O30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72" t="s">
        <v>60</v>
      </c>
      <c r="B2" s="272"/>
      <c r="C2" s="273">
        <v>1000000</v>
      </c>
      <c r="D2" s="273"/>
      <c r="E2" s="273"/>
      <c r="F2" s="273"/>
      <c r="G2" s="272" t="s">
        <v>61</v>
      </c>
      <c r="H2" s="272"/>
      <c r="I2" s="19">
        <v>1000000</v>
      </c>
      <c r="J2" s="20" t="s">
        <v>62</v>
      </c>
      <c r="K2" s="214">
        <v>0.3</v>
      </c>
      <c r="N2" s="216"/>
      <c r="O2" s="215" t="s">
        <v>107</v>
      </c>
      <c r="U2" s="18"/>
      <c r="V2" s="18"/>
      <c r="W2" s="18"/>
      <c r="AU2" s="21">
        <f>I2-I2*K2</f>
        <v>700000</v>
      </c>
    </row>
    <row r="3" spans="1:23" ht="21" customHeight="1">
      <c r="A3" s="272" t="s">
        <v>63</v>
      </c>
      <c r="B3" s="272"/>
      <c r="C3" s="274">
        <v>17</v>
      </c>
      <c r="D3" s="274"/>
      <c r="E3" s="274"/>
      <c r="F3" s="274"/>
      <c r="G3" s="275">
        <f>IF(C2&lt;AU2,"警告！！資金不足！！","")</f>
      </c>
      <c r="H3" s="275"/>
      <c r="I3" s="275"/>
      <c r="J3" s="275"/>
      <c r="K3" s="275"/>
      <c r="P3" s="225" t="s">
        <v>112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2" t="s">
        <v>21</v>
      </c>
      <c r="E4" s="263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121</v>
      </c>
      <c r="E5" s="35" t="s">
        <v>122</v>
      </c>
      <c r="F5" s="36" t="s">
        <v>123</v>
      </c>
      <c r="G5" s="36" t="s">
        <v>125</v>
      </c>
      <c r="H5" s="36" t="s">
        <v>102</v>
      </c>
      <c r="I5" s="37">
        <v>40917.833333333336</v>
      </c>
      <c r="J5" s="38">
        <v>1.02455</v>
      </c>
      <c r="K5" s="38">
        <v>1.02939</v>
      </c>
      <c r="L5" s="39">
        <f aca="true" t="shared" si="0" ref="L5:L68">IF(H5="","",IF(H5="買い",J5+$C$3*VLOOKUP(E5,$X$5:$AA$23,3,FALSE),J5-$C$3*VLOOKUP(E5,$X$5:$AA$23,3,FALSE)))</f>
        <v>1.02285</v>
      </c>
      <c r="M5" s="36" t="s">
        <v>125</v>
      </c>
      <c r="N5" s="40">
        <v>40919.666666666664</v>
      </c>
      <c r="O5" s="231">
        <v>1.01938</v>
      </c>
      <c r="P5" s="42" t="s">
        <v>119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48.39999999999955</v>
      </c>
      <c r="S5" s="45">
        <f aca="true" t="shared" si="3" ref="S5:S68">IF(K5="",0,ROUNDDOWN((B5*C5)/(VLOOKUP(E5,$X$5:$AA$23,4,FALSE)*R5),-3))</f>
        <v>66000</v>
      </c>
      <c r="T5" s="46">
        <f>IF(Q5="勝ち",IF(H5="買い",(O5-J5)/VLOOKUP(E5,$X$5:$AA$23,3,FALSE),(J5-O5)/VLOOKUP(E5,$X$5:$AA$23,3,FALSE)),0)</f>
        <v>51.70000000000119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31914.306600000735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1031914.3066000007</v>
      </c>
      <c r="C6" s="204">
        <v>0.03</v>
      </c>
      <c r="D6" s="34" t="s">
        <v>121</v>
      </c>
      <c r="E6" s="35" t="s">
        <v>122</v>
      </c>
      <c r="F6" s="36" t="s">
        <v>124</v>
      </c>
      <c r="G6" s="36" t="s">
        <v>125</v>
      </c>
      <c r="H6" s="36" t="s">
        <v>102</v>
      </c>
      <c r="I6" s="37">
        <v>40924.666666666664</v>
      </c>
      <c r="J6" s="38">
        <v>1.01889</v>
      </c>
      <c r="K6" s="38">
        <v>1.02164</v>
      </c>
      <c r="L6" s="39">
        <f t="shared" si="0"/>
        <v>1.01719</v>
      </c>
      <c r="M6" s="36" t="s">
        <v>125</v>
      </c>
      <c r="N6" s="37">
        <v>40931.5</v>
      </c>
      <c r="O6" s="38">
        <v>1.01226</v>
      </c>
      <c r="P6" s="53" t="s">
        <v>119</v>
      </c>
      <c r="Q6" s="43" t="str">
        <f t="shared" si="1"/>
        <v>勝ち</v>
      </c>
      <c r="R6" s="44">
        <f t="shared" si="2"/>
        <v>27.500000000000302</v>
      </c>
      <c r="S6" s="45">
        <f t="shared" si="3"/>
        <v>120000</v>
      </c>
      <c r="T6" s="46">
        <f aca="true" t="shared" si="6" ref="T6:T68">IF(Q6="勝ち",IF(H6="買い",(O6-J6)/VLOOKUP(E6,$X$5:$AA$23,3,FALSE),(J6-O6)/VLOOKUP(E6,$X$5:$AA$23,3,FALSE)),0)</f>
        <v>66.30000000000136</v>
      </c>
      <c r="U6" s="47">
        <f t="shared" si="4"/>
        <v>0</v>
      </c>
      <c r="V6" s="48">
        <f t="shared" si="5"/>
        <v>74412.46800000154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1106326.7746000022</v>
      </c>
      <c r="C7" s="204">
        <v>0.03</v>
      </c>
      <c r="D7" s="34" t="s">
        <v>121</v>
      </c>
      <c r="E7" s="35" t="s">
        <v>122</v>
      </c>
      <c r="F7" s="36" t="s">
        <v>108</v>
      </c>
      <c r="G7" s="36" t="s">
        <v>125</v>
      </c>
      <c r="H7" s="36" t="s">
        <v>102</v>
      </c>
      <c r="I7" s="37">
        <v>40933.666666666664</v>
      </c>
      <c r="J7" s="38">
        <v>1.01228</v>
      </c>
      <c r="K7" s="38">
        <v>1.01461</v>
      </c>
      <c r="L7" s="39">
        <f t="shared" si="0"/>
        <v>1.01058</v>
      </c>
      <c r="M7" s="36" t="s">
        <v>125</v>
      </c>
      <c r="N7" s="37">
        <v>40949</v>
      </c>
      <c r="O7" s="38">
        <v>0.9954</v>
      </c>
      <c r="P7" s="53" t="s">
        <v>119</v>
      </c>
      <c r="Q7" s="43" t="str">
        <f t="shared" si="1"/>
        <v>勝ち</v>
      </c>
      <c r="R7" s="44">
        <f t="shared" si="2"/>
        <v>23.299999999999432</v>
      </c>
      <c r="S7" s="45">
        <f t="shared" si="3"/>
        <v>152000</v>
      </c>
      <c r="T7" s="46">
        <f t="shared" si="6"/>
        <v>168.80000000000118</v>
      </c>
      <c r="U7" s="47">
        <f t="shared" si="4"/>
        <v>0</v>
      </c>
      <c r="V7" s="48">
        <f t="shared" si="5"/>
        <v>239975.53280000167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1346302.307400004</v>
      </c>
      <c r="C8" s="204">
        <v>0.03</v>
      </c>
      <c r="D8" s="34" t="s">
        <v>76</v>
      </c>
      <c r="E8" s="35" t="s">
        <v>122</v>
      </c>
      <c r="F8" s="36" t="s">
        <v>108</v>
      </c>
      <c r="G8" s="36" t="s">
        <v>125</v>
      </c>
      <c r="H8" s="36" t="s">
        <v>113</v>
      </c>
      <c r="I8" s="37">
        <v>40960</v>
      </c>
      <c r="J8" s="38">
        <v>0.99409</v>
      </c>
      <c r="K8" s="38">
        <v>0.9917</v>
      </c>
      <c r="L8" s="39">
        <f t="shared" si="0"/>
        <v>0.9957900000000001</v>
      </c>
      <c r="M8" s="36" t="s">
        <v>125</v>
      </c>
      <c r="N8" s="37">
        <v>40966.666666666664</v>
      </c>
      <c r="O8" s="38">
        <v>1.00004</v>
      </c>
      <c r="P8" s="53" t="s">
        <v>118</v>
      </c>
      <c r="Q8" s="43" t="str">
        <f t="shared" si="1"/>
        <v>勝ち</v>
      </c>
      <c r="R8" s="44">
        <f t="shared" si="2"/>
        <v>23.90000000000003</v>
      </c>
      <c r="S8" s="45">
        <f t="shared" si="3"/>
        <v>180000</v>
      </c>
      <c r="T8" s="46">
        <f t="shared" si="6"/>
        <v>59.50000000000011</v>
      </c>
      <c r="U8" s="47">
        <f t="shared" si="4"/>
        <v>0</v>
      </c>
      <c r="V8" s="48">
        <f t="shared" si="5"/>
        <v>100170.63000000018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1446472.9374000041</v>
      </c>
      <c r="C9" s="204">
        <v>0.03</v>
      </c>
      <c r="D9" s="34" t="s">
        <v>121</v>
      </c>
      <c r="E9" s="35" t="s">
        <v>122</v>
      </c>
      <c r="F9" s="36" t="s">
        <v>124</v>
      </c>
      <c r="G9" s="36" t="s">
        <v>125</v>
      </c>
      <c r="H9" s="36" t="s">
        <v>102</v>
      </c>
      <c r="I9" s="37">
        <v>40968</v>
      </c>
      <c r="J9" s="38">
        <v>0.99462</v>
      </c>
      <c r="K9" s="38">
        <v>0.99731</v>
      </c>
      <c r="L9" s="39">
        <f t="shared" si="0"/>
        <v>0.9929199999999999</v>
      </c>
      <c r="M9" s="36" t="s">
        <v>125</v>
      </c>
      <c r="N9" s="37">
        <v>40970.333333333336</v>
      </c>
      <c r="O9" s="38">
        <v>0.98616</v>
      </c>
      <c r="P9" s="53" t="s">
        <v>119</v>
      </c>
      <c r="Q9" s="43" t="str">
        <f t="shared" si="1"/>
        <v>勝ち</v>
      </c>
      <c r="R9" s="44">
        <f t="shared" si="2"/>
        <v>26.900000000000812</v>
      </c>
      <c r="S9" s="45">
        <f t="shared" si="3"/>
        <v>172000</v>
      </c>
      <c r="T9" s="46">
        <f t="shared" si="6"/>
        <v>84.59999999999911</v>
      </c>
      <c r="U9" s="47">
        <f t="shared" si="4"/>
        <v>0</v>
      </c>
      <c r="V9" s="48">
        <f t="shared" si="5"/>
        <v>136097.3735999986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1582570.3110000028</v>
      </c>
      <c r="C10" s="204">
        <v>0.03</v>
      </c>
      <c r="D10" s="34" t="s">
        <v>121</v>
      </c>
      <c r="E10" s="35" t="s">
        <v>122</v>
      </c>
      <c r="F10" s="36" t="s">
        <v>124</v>
      </c>
      <c r="G10" s="36" t="s">
        <v>125</v>
      </c>
      <c r="H10" s="36" t="s">
        <v>113</v>
      </c>
      <c r="I10" s="37">
        <v>40970.666666666664</v>
      </c>
      <c r="J10" s="38">
        <v>0.98827</v>
      </c>
      <c r="K10" s="38">
        <v>0.9861</v>
      </c>
      <c r="L10" s="39">
        <f t="shared" si="0"/>
        <v>0.98997</v>
      </c>
      <c r="M10" s="36" t="s">
        <v>125</v>
      </c>
      <c r="N10" s="37">
        <v>40975</v>
      </c>
      <c r="O10" s="38">
        <v>1.00034</v>
      </c>
      <c r="P10" s="53" t="s">
        <v>118</v>
      </c>
      <c r="Q10" s="43" t="str">
        <f t="shared" si="1"/>
        <v>勝ち</v>
      </c>
      <c r="R10" s="44">
        <f t="shared" si="2"/>
        <v>21.700000000000053</v>
      </c>
      <c r="S10" s="45">
        <f t="shared" si="3"/>
        <v>233000</v>
      </c>
      <c r="T10" s="46">
        <f t="shared" si="6"/>
        <v>120.70000000000024</v>
      </c>
      <c r="U10" s="47">
        <f t="shared" si="4"/>
        <v>0</v>
      </c>
      <c r="V10" s="48">
        <f t="shared" si="5"/>
        <v>263035.3543000006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1845605.6653000033</v>
      </c>
      <c r="C11" s="204">
        <v>0.03</v>
      </c>
      <c r="D11" s="34" t="s">
        <v>121</v>
      </c>
      <c r="E11" s="35" t="s">
        <v>122</v>
      </c>
      <c r="F11" s="36" t="s">
        <v>124</v>
      </c>
      <c r="G11" s="36" t="s">
        <v>125</v>
      </c>
      <c r="H11" s="36" t="s">
        <v>102</v>
      </c>
      <c r="I11" s="37">
        <v>41011.166666666664</v>
      </c>
      <c r="J11" s="38">
        <v>1.00213</v>
      </c>
      <c r="K11" s="38">
        <v>1.00387</v>
      </c>
      <c r="L11" s="39">
        <f t="shared" si="0"/>
        <v>1.00043</v>
      </c>
      <c r="M11" s="36" t="s">
        <v>125</v>
      </c>
      <c r="N11" s="37">
        <v>41029.666666666664</v>
      </c>
      <c r="O11" s="38">
        <v>0.98718</v>
      </c>
      <c r="P11" s="53" t="s">
        <v>119</v>
      </c>
      <c r="Q11" s="43" t="str">
        <f t="shared" si="1"/>
        <v>勝ち</v>
      </c>
      <c r="R11" s="44">
        <f t="shared" si="2"/>
        <v>17.400000000000748</v>
      </c>
      <c r="S11" s="45">
        <f t="shared" si="3"/>
        <v>340000</v>
      </c>
      <c r="T11" s="46">
        <f t="shared" si="6"/>
        <v>149.50000000000017</v>
      </c>
      <c r="U11" s="47">
        <f t="shared" si="4"/>
        <v>0</v>
      </c>
      <c r="V11" s="48">
        <f t="shared" si="5"/>
        <v>475412.9900000005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2321018.655300004</v>
      </c>
      <c r="C12" s="204">
        <v>0.03</v>
      </c>
      <c r="D12" s="34" t="s">
        <v>121</v>
      </c>
      <c r="E12" s="35" t="s">
        <v>122</v>
      </c>
      <c r="F12" s="36" t="s">
        <v>124</v>
      </c>
      <c r="G12" s="36" t="s">
        <v>125</v>
      </c>
      <c r="H12" s="36" t="s">
        <v>113</v>
      </c>
      <c r="I12" s="37">
        <v>41033.666666666664</v>
      </c>
      <c r="J12" s="38">
        <v>0.99063</v>
      </c>
      <c r="K12" s="38">
        <v>0.98605</v>
      </c>
      <c r="L12" s="39">
        <f t="shared" si="0"/>
        <v>0.99233</v>
      </c>
      <c r="M12" s="36" t="s">
        <v>125</v>
      </c>
      <c r="N12" s="37">
        <v>41039.333333333336</v>
      </c>
      <c r="O12" s="38">
        <v>1.00002</v>
      </c>
      <c r="P12" s="53" t="s">
        <v>118</v>
      </c>
      <c r="Q12" s="43" t="str">
        <f t="shared" si="1"/>
        <v>勝ち</v>
      </c>
      <c r="R12" s="44">
        <f t="shared" si="2"/>
        <v>45.80000000000028</v>
      </c>
      <c r="S12" s="45">
        <f t="shared" si="3"/>
        <v>162000</v>
      </c>
      <c r="T12" s="46">
        <f t="shared" si="6"/>
        <v>93.89999999999898</v>
      </c>
      <c r="U12" s="47">
        <f t="shared" si="4"/>
        <v>0</v>
      </c>
      <c r="V12" s="48">
        <f t="shared" si="5"/>
        <v>142275.96539999844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2463294.620700002</v>
      </c>
      <c r="C13" s="204">
        <v>0.03</v>
      </c>
      <c r="D13" s="34" t="s">
        <v>121</v>
      </c>
      <c r="E13" s="35" t="s">
        <v>122</v>
      </c>
      <c r="F13" s="36" t="s">
        <v>124</v>
      </c>
      <c r="G13" s="36" t="s">
        <v>125</v>
      </c>
      <c r="H13" s="36" t="s">
        <v>113</v>
      </c>
      <c r="I13" s="37">
        <v>41044.666666666664</v>
      </c>
      <c r="J13" s="38">
        <v>1.00198</v>
      </c>
      <c r="K13" s="38">
        <v>0.99888</v>
      </c>
      <c r="L13" s="39">
        <f t="shared" si="0"/>
        <v>1.0036800000000001</v>
      </c>
      <c r="M13" s="36" t="s">
        <v>125</v>
      </c>
      <c r="N13" s="37">
        <v>41057</v>
      </c>
      <c r="O13" s="38">
        <v>1.02633</v>
      </c>
      <c r="P13" s="53" t="s">
        <v>118</v>
      </c>
      <c r="Q13" s="43" t="str">
        <f t="shared" si="1"/>
        <v>勝ち</v>
      </c>
      <c r="R13" s="44">
        <f t="shared" si="2"/>
        <v>31.000000000001027</v>
      </c>
      <c r="S13" s="45">
        <f t="shared" si="3"/>
        <v>254000</v>
      </c>
      <c r="T13" s="46">
        <f t="shared" si="6"/>
        <v>243.4999999999987</v>
      </c>
      <c r="U13" s="47">
        <f t="shared" si="4"/>
        <v>0</v>
      </c>
      <c r="V13" s="48">
        <f t="shared" si="5"/>
        <v>578473.6969999969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3041768.317699999</v>
      </c>
      <c r="C14" s="204">
        <v>0.03</v>
      </c>
      <c r="D14" s="34" t="s">
        <v>121</v>
      </c>
      <c r="E14" s="35" t="s">
        <v>122</v>
      </c>
      <c r="F14" s="36" t="s">
        <v>124</v>
      </c>
      <c r="G14" s="36" t="s">
        <v>125</v>
      </c>
      <c r="H14" s="36" t="s">
        <v>113</v>
      </c>
      <c r="I14" s="37">
        <v>41058.5</v>
      </c>
      <c r="J14" s="38">
        <v>1.02345</v>
      </c>
      <c r="K14" s="38">
        <v>1.0258</v>
      </c>
      <c r="L14" s="39">
        <f t="shared" si="0"/>
        <v>1.02515</v>
      </c>
      <c r="M14" s="36" t="s">
        <v>125</v>
      </c>
      <c r="N14" s="37">
        <v>41064.666666666664</v>
      </c>
      <c r="O14" s="38">
        <v>1.03757</v>
      </c>
      <c r="P14" s="53" t="s">
        <v>118</v>
      </c>
      <c r="Q14" s="43" t="str">
        <f t="shared" si="1"/>
        <v>勝ち</v>
      </c>
      <c r="R14" s="44">
        <f t="shared" si="2"/>
        <v>23.500000000000743</v>
      </c>
      <c r="S14" s="45">
        <f t="shared" si="3"/>
        <v>415000</v>
      </c>
      <c r="T14" s="46">
        <f t="shared" si="6"/>
        <v>141.20000000000132</v>
      </c>
      <c r="U14" s="47">
        <f t="shared" si="4"/>
        <v>0</v>
      </c>
      <c r="V14" s="48">
        <f t="shared" si="5"/>
        <v>548067.0940000052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3589835.4117000042</v>
      </c>
      <c r="C15" s="204">
        <v>0.03</v>
      </c>
      <c r="D15" s="34" t="s">
        <v>121</v>
      </c>
      <c r="E15" s="35" t="s">
        <v>122</v>
      </c>
      <c r="F15" s="36" t="s">
        <v>124</v>
      </c>
      <c r="G15" s="36" t="s">
        <v>125</v>
      </c>
      <c r="H15" s="36" t="s">
        <v>113</v>
      </c>
      <c r="I15" s="37">
        <v>41080.666666666664</v>
      </c>
      <c r="J15" s="38">
        <v>1.01818</v>
      </c>
      <c r="K15" s="38">
        <v>1.01578</v>
      </c>
      <c r="L15" s="39">
        <f t="shared" si="0"/>
        <v>1.0198800000000001</v>
      </c>
      <c r="M15" s="36" t="s">
        <v>125</v>
      </c>
      <c r="N15" s="37">
        <v>41088</v>
      </c>
      <c r="O15" s="38">
        <v>1.02721</v>
      </c>
      <c r="P15" s="53" t="s">
        <v>118</v>
      </c>
      <c r="Q15" s="43" t="str">
        <f t="shared" si="1"/>
        <v>勝ち</v>
      </c>
      <c r="R15" s="44">
        <f t="shared" si="2"/>
        <v>24.000000000001798</v>
      </c>
      <c r="S15" s="45">
        <f t="shared" si="3"/>
        <v>479000</v>
      </c>
      <c r="T15" s="46">
        <f t="shared" si="6"/>
        <v>90.2999999999987</v>
      </c>
      <c r="U15" s="47">
        <f t="shared" si="4"/>
        <v>0</v>
      </c>
      <c r="V15" s="48">
        <f t="shared" si="5"/>
        <v>404551.8560999942</v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  <v>3994387.2677999986</v>
      </c>
      <c r="C16" s="204">
        <v>0.03</v>
      </c>
      <c r="D16" s="34" t="s">
        <v>121</v>
      </c>
      <c r="E16" s="35" t="s">
        <v>122</v>
      </c>
      <c r="F16" s="36" t="s">
        <v>124</v>
      </c>
      <c r="G16" s="36" t="s">
        <v>125</v>
      </c>
      <c r="H16" s="36" t="s">
        <v>102</v>
      </c>
      <c r="I16" s="37">
        <v>41089.166666666664</v>
      </c>
      <c r="J16" s="38">
        <v>1.03253</v>
      </c>
      <c r="K16" s="38">
        <v>1.034</v>
      </c>
      <c r="L16" s="39">
        <f t="shared" si="0"/>
        <v>1.03083</v>
      </c>
      <c r="M16" s="36" t="s">
        <v>125</v>
      </c>
      <c r="N16" s="37">
        <v>41095.5</v>
      </c>
      <c r="O16" s="38">
        <v>1.01363</v>
      </c>
      <c r="P16" s="53" t="s">
        <v>119</v>
      </c>
      <c r="Q16" s="43" t="str">
        <f t="shared" si="1"/>
        <v>勝ち</v>
      </c>
      <c r="R16" s="44">
        <f t="shared" si="2"/>
        <v>14.700000000000824</v>
      </c>
      <c r="S16" s="45">
        <f t="shared" si="3"/>
        <v>871000</v>
      </c>
      <c r="T16" s="46">
        <f t="shared" si="6"/>
        <v>188.99999999999915</v>
      </c>
      <c r="U16" s="47">
        <f t="shared" si="4"/>
        <v>0</v>
      </c>
      <c r="V16" s="48">
        <f t="shared" si="5"/>
        <v>1539681.506999993</v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  <v>5534068.774799991</v>
      </c>
      <c r="C17" s="204">
        <v>0.03</v>
      </c>
      <c r="D17" s="34" t="s">
        <v>121</v>
      </c>
      <c r="E17" s="35" t="s">
        <v>122</v>
      </c>
      <c r="F17" s="36" t="s">
        <v>124</v>
      </c>
      <c r="G17" s="36" t="s">
        <v>125</v>
      </c>
      <c r="H17" s="36" t="s">
        <v>113</v>
      </c>
      <c r="I17" s="37">
        <v>41106</v>
      </c>
      <c r="J17" s="38">
        <v>1.01434</v>
      </c>
      <c r="K17" s="38">
        <v>1.01285</v>
      </c>
      <c r="L17" s="39">
        <f t="shared" si="0"/>
        <v>1.01604</v>
      </c>
      <c r="M17" s="36" t="s">
        <v>125</v>
      </c>
      <c r="N17" s="37">
        <v>41099.833333333336</v>
      </c>
      <c r="O17" s="38">
        <v>1.01918</v>
      </c>
      <c r="P17" s="53" t="s">
        <v>118</v>
      </c>
      <c r="Q17" s="43" t="str">
        <f t="shared" si="1"/>
        <v>勝ち</v>
      </c>
      <c r="R17" s="44">
        <f t="shared" si="2"/>
        <v>14.899999999999913</v>
      </c>
      <c r="S17" s="45">
        <f t="shared" si="3"/>
        <v>1191000</v>
      </c>
      <c r="T17" s="46">
        <f t="shared" si="6"/>
        <v>48.39999999999955</v>
      </c>
      <c r="U17" s="47">
        <f t="shared" si="4"/>
        <v>0</v>
      </c>
      <c r="V17" s="48">
        <f t="shared" si="5"/>
        <v>539148.073199995</v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  <v>6073216.847999986</v>
      </c>
      <c r="C18" s="204">
        <v>0.03</v>
      </c>
      <c r="D18" s="34" t="s">
        <v>121</v>
      </c>
      <c r="E18" s="35" t="s">
        <v>122</v>
      </c>
      <c r="F18" s="36" t="s">
        <v>124</v>
      </c>
      <c r="G18" s="36" t="s">
        <v>125</v>
      </c>
      <c r="H18" s="36" t="s">
        <v>102</v>
      </c>
      <c r="I18" s="276" t="s">
        <v>126</v>
      </c>
      <c r="J18" s="38">
        <v>1.0145</v>
      </c>
      <c r="K18" s="38">
        <v>1.01718</v>
      </c>
      <c r="L18" s="39">
        <f t="shared" si="0"/>
        <v>1.0128</v>
      </c>
      <c r="M18" s="36" t="s">
        <v>125</v>
      </c>
      <c r="N18" s="37">
        <v>41110</v>
      </c>
      <c r="O18" s="38">
        <v>1.00839</v>
      </c>
      <c r="P18" s="53" t="s">
        <v>119</v>
      </c>
      <c r="Q18" s="43" t="str">
        <f t="shared" si="1"/>
        <v>勝ち</v>
      </c>
      <c r="R18" s="44">
        <f t="shared" si="2"/>
        <v>26.800000000000157</v>
      </c>
      <c r="S18" s="45">
        <f t="shared" si="3"/>
        <v>726000</v>
      </c>
      <c r="T18" s="46">
        <f t="shared" si="6"/>
        <v>61.1000000000006</v>
      </c>
      <c r="U18" s="47">
        <f t="shared" si="4"/>
        <v>0</v>
      </c>
      <c r="V18" s="48">
        <f t="shared" si="5"/>
        <v>414885.9858000041</v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  <v>6488102.83379999</v>
      </c>
      <c r="C19" s="204">
        <v>0.03</v>
      </c>
      <c r="D19" s="34" t="s">
        <v>121</v>
      </c>
      <c r="E19" s="35" t="s">
        <v>122</v>
      </c>
      <c r="F19" s="36" t="s">
        <v>124</v>
      </c>
      <c r="G19" s="36" t="s">
        <v>125</v>
      </c>
      <c r="H19" s="36" t="s">
        <v>102</v>
      </c>
      <c r="I19" s="37">
        <v>41115.833333333336</v>
      </c>
      <c r="J19" s="38">
        <v>1.01704</v>
      </c>
      <c r="K19" s="38">
        <v>1.202</v>
      </c>
      <c r="L19" s="39">
        <f t="shared" si="0"/>
        <v>1.01534</v>
      </c>
      <c r="M19" s="36" t="s">
        <v>125</v>
      </c>
      <c r="N19" s="37">
        <v>41122.666666666664</v>
      </c>
      <c r="O19" s="38">
        <v>1.00203</v>
      </c>
      <c r="P19" s="53" t="s">
        <v>119</v>
      </c>
      <c r="Q19" s="43" t="str">
        <f t="shared" si="1"/>
        <v>勝ち</v>
      </c>
      <c r="R19" s="44">
        <f t="shared" si="2"/>
        <v>1849.6000000000001</v>
      </c>
      <c r="S19" s="45">
        <f t="shared" si="3"/>
        <v>11000</v>
      </c>
      <c r="T19" s="46">
        <f t="shared" si="6"/>
        <v>150.09999999999968</v>
      </c>
      <c r="U19" s="47">
        <f t="shared" si="4"/>
        <v>0</v>
      </c>
      <c r="V19" s="48">
        <f t="shared" si="5"/>
        <v>15442.738299999966</v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  <v>6503545.57209999</v>
      </c>
      <c r="C20" s="204">
        <v>0.03</v>
      </c>
      <c r="D20" s="34" t="s">
        <v>121</v>
      </c>
      <c r="E20" s="35" t="s">
        <v>122</v>
      </c>
      <c r="F20" s="36" t="s">
        <v>124</v>
      </c>
      <c r="G20" s="36" t="s">
        <v>125</v>
      </c>
      <c r="H20" s="36" t="s">
        <v>102</v>
      </c>
      <c r="I20" s="37">
        <v>41124</v>
      </c>
      <c r="J20" s="38">
        <v>1.00647</v>
      </c>
      <c r="K20" s="38">
        <v>1.00833</v>
      </c>
      <c r="L20" s="39">
        <f t="shared" si="0"/>
        <v>1.00477</v>
      </c>
      <c r="M20" s="36" t="s">
        <v>125</v>
      </c>
      <c r="N20" s="37">
        <v>41138.5</v>
      </c>
      <c r="O20" s="38">
        <v>0.98789</v>
      </c>
      <c r="P20" s="53" t="s">
        <v>119</v>
      </c>
      <c r="Q20" s="43" t="str">
        <f t="shared" si="1"/>
        <v>勝ち</v>
      </c>
      <c r="R20" s="44">
        <f t="shared" si="2"/>
        <v>18.599999999999728</v>
      </c>
      <c r="S20" s="45">
        <f t="shared" si="3"/>
        <v>1121000</v>
      </c>
      <c r="T20" s="46">
        <f t="shared" si="6"/>
        <v>185.7999999999993</v>
      </c>
      <c r="U20" s="47">
        <f t="shared" si="4"/>
        <v>0</v>
      </c>
      <c r="V20" s="48">
        <f t="shared" si="5"/>
        <v>1948059.6753999926</v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  <v>8451605.247499984</v>
      </c>
      <c r="C21" s="204">
        <v>0.03</v>
      </c>
      <c r="D21" s="34" t="s">
        <v>121</v>
      </c>
      <c r="E21" s="35" t="s">
        <v>122</v>
      </c>
      <c r="F21" s="36" t="s">
        <v>124</v>
      </c>
      <c r="G21" s="36" t="s">
        <v>125</v>
      </c>
      <c r="H21" s="36" t="s">
        <v>102</v>
      </c>
      <c r="I21" s="37">
        <v>41145.5</v>
      </c>
      <c r="J21" s="38">
        <v>0.99298</v>
      </c>
      <c r="K21" s="38">
        <v>0.99461</v>
      </c>
      <c r="L21" s="39">
        <f t="shared" si="0"/>
        <v>0.9912799999999999</v>
      </c>
      <c r="M21" s="36" t="s">
        <v>125</v>
      </c>
      <c r="N21" s="37">
        <v>41150.833333333336</v>
      </c>
      <c r="O21" s="38">
        <v>0.98848</v>
      </c>
      <c r="P21" s="53" t="s">
        <v>119</v>
      </c>
      <c r="Q21" s="43" t="str">
        <f t="shared" si="1"/>
        <v>勝ち</v>
      </c>
      <c r="R21" s="44">
        <f t="shared" si="2"/>
        <v>16.300000000000203</v>
      </c>
      <c r="S21" s="45">
        <f t="shared" si="3"/>
        <v>1663000</v>
      </c>
      <c r="T21" s="46">
        <f t="shared" si="6"/>
        <v>44.99999999999948</v>
      </c>
      <c r="U21" s="47">
        <f t="shared" si="4"/>
        <v>0</v>
      </c>
      <c r="V21" s="48">
        <f t="shared" si="5"/>
        <v>699931.754999992</v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  <v>9151537.002499975</v>
      </c>
      <c r="C22" s="204">
        <v>0.03</v>
      </c>
      <c r="D22" s="34" t="s">
        <v>121</v>
      </c>
      <c r="E22" s="35" t="s">
        <v>122</v>
      </c>
      <c r="F22" s="36" t="s">
        <v>124</v>
      </c>
      <c r="G22" s="36" t="s">
        <v>125</v>
      </c>
      <c r="H22" s="36" t="s">
        <v>102</v>
      </c>
      <c r="I22" s="37">
        <v>41152.166666666664</v>
      </c>
      <c r="J22" s="38">
        <v>0.99186</v>
      </c>
      <c r="K22" s="38">
        <v>0.99293</v>
      </c>
      <c r="L22" s="39">
        <f t="shared" si="0"/>
        <v>0.9901599999999999</v>
      </c>
      <c r="M22" s="36" t="s">
        <v>125</v>
      </c>
      <c r="N22" s="37">
        <v>41166.5</v>
      </c>
      <c r="O22" s="38">
        <v>0.96648</v>
      </c>
      <c r="P22" s="53" t="s">
        <v>119</v>
      </c>
      <c r="Q22" s="43" t="str">
        <f t="shared" si="1"/>
        <v>勝ち</v>
      </c>
      <c r="R22" s="44">
        <f t="shared" si="2"/>
        <v>10.700000000000154</v>
      </c>
      <c r="S22" s="45">
        <f t="shared" si="3"/>
        <v>2743000</v>
      </c>
      <c r="T22" s="46">
        <f t="shared" si="6"/>
        <v>253.79999999999956</v>
      </c>
      <c r="U22" s="47">
        <f t="shared" si="4"/>
        <v>0</v>
      </c>
      <c r="V22" s="48">
        <f t="shared" si="5"/>
        <v>6511309.810199989</v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  <v>15662846.812699964</v>
      </c>
      <c r="C23" s="204">
        <v>0.03</v>
      </c>
      <c r="D23" s="34" t="s">
        <v>121</v>
      </c>
      <c r="E23" s="35" t="s">
        <v>122</v>
      </c>
      <c r="F23" s="36" t="s">
        <v>124</v>
      </c>
      <c r="G23" s="36" t="s">
        <v>125</v>
      </c>
      <c r="H23" s="36" t="s">
        <v>113</v>
      </c>
      <c r="I23" s="37">
        <v>41169.333333333336</v>
      </c>
      <c r="J23" s="38">
        <v>0.97084</v>
      </c>
      <c r="K23" s="38">
        <v>0.96914</v>
      </c>
      <c r="L23" s="39">
        <f t="shared" si="0"/>
        <v>0.9725400000000001</v>
      </c>
      <c r="M23" s="36" t="s">
        <v>125</v>
      </c>
      <c r="N23" s="37">
        <v>41177.333333333336</v>
      </c>
      <c r="O23" s="38">
        <v>0.97786</v>
      </c>
      <c r="P23" s="53" t="s">
        <v>118</v>
      </c>
      <c r="Q23" s="43" t="str">
        <f t="shared" si="1"/>
        <v>勝ち</v>
      </c>
      <c r="R23" s="44">
        <f t="shared" si="2"/>
        <v>17.000000000000348</v>
      </c>
      <c r="S23" s="45">
        <f t="shared" si="3"/>
        <v>2955000</v>
      </c>
      <c r="T23" s="46">
        <f t="shared" si="6"/>
        <v>70.19999999999915</v>
      </c>
      <c r="U23" s="47">
        <f t="shared" si="4"/>
        <v>0</v>
      </c>
      <c r="V23" s="48">
        <f t="shared" si="5"/>
        <v>1940195.6729999767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  <v>17603042.48569994</v>
      </c>
      <c r="C24" s="204">
        <v>0.03</v>
      </c>
      <c r="D24" s="34" t="s">
        <v>121</v>
      </c>
      <c r="E24" s="35" t="s">
        <v>122</v>
      </c>
      <c r="F24" s="36" t="s">
        <v>124</v>
      </c>
      <c r="G24" s="36" t="s">
        <v>125</v>
      </c>
      <c r="H24" s="36" t="s">
        <v>113</v>
      </c>
      <c r="I24" s="37">
        <v>41177.833333333336</v>
      </c>
      <c r="J24" s="38">
        <v>0.97871</v>
      </c>
      <c r="K24" s="38">
        <v>0.9755</v>
      </c>
      <c r="L24" s="39">
        <f t="shared" si="0"/>
        <v>0.98041</v>
      </c>
      <c r="M24" s="36" t="s">
        <v>125</v>
      </c>
      <c r="N24" s="37">
        <v>41186.166666666664</v>
      </c>
      <c r="O24" s="38">
        <v>0.9861</v>
      </c>
      <c r="P24" s="53" t="s">
        <v>118</v>
      </c>
      <c r="Q24" s="43" t="str">
        <f t="shared" si="1"/>
        <v>勝ち</v>
      </c>
      <c r="R24" s="44">
        <f t="shared" si="2"/>
        <v>32.09999999999935</v>
      </c>
      <c r="S24" s="45">
        <f t="shared" si="3"/>
        <v>1758000</v>
      </c>
      <c r="T24" s="46">
        <f t="shared" si="6"/>
        <v>73.90000000000008</v>
      </c>
      <c r="U24" s="47">
        <f t="shared" si="4"/>
        <v>0</v>
      </c>
      <c r="V24" s="48">
        <f t="shared" si="5"/>
        <v>1215106.2186000012</v>
      </c>
    </row>
    <row r="25" spans="1:22" ht="13.5">
      <c r="A25" s="52">
        <v>21</v>
      </c>
      <c r="B25" s="209">
        <f t="shared" si="8"/>
        <v>18818148.70429994</v>
      </c>
      <c r="C25" s="204">
        <v>0.03</v>
      </c>
      <c r="D25" s="34" t="s">
        <v>121</v>
      </c>
      <c r="E25" s="35" t="s">
        <v>122</v>
      </c>
      <c r="F25" s="36" t="s">
        <v>124</v>
      </c>
      <c r="G25" s="36" t="s">
        <v>125</v>
      </c>
      <c r="H25" s="36" t="s">
        <v>102</v>
      </c>
      <c r="I25" s="37">
        <v>41186.333333333336</v>
      </c>
      <c r="J25" s="38">
        <v>0.98571</v>
      </c>
      <c r="K25" s="38">
        <v>0.98754</v>
      </c>
      <c r="L25" s="39">
        <f t="shared" si="0"/>
        <v>0.9840099999999999</v>
      </c>
      <c r="M25" s="36" t="s">
        <v>125</v>
      </c>
      <c r="N25" s="37">
        <v>41191.5</v>
      </c>
      <c r="O25" s="38">
        <v>0.97694</v>
      </c>
      <c r="P25" s="53" t="s">
        <v>119</v>
      </c>
      <c r="Q25" s="43" t="str">
        <f t="shared" si="1"/>
        <v>勝ち</v>
      </c>
      <c r="R25" s="44">
        <f t="shared" si="2"/>
        <v>18.299999999999983</v>
      </c>
      <c r="S25" s="45">
        <f t="shared" si="3"/>
        <v>3298000</v>
      </c>
      <c r="T25" s="46">
        <f t="shared" si="6"/>
        <v>87.69999999999943</v>
      </c>
      <c r="U25" s="47">
        <f t="shared" si="4"/>
        <v>0</v>
      </c>
      <c r="V25" s="48">
        <f t="shared" si="5"/>
        <v>2705211.2137999823</v>
      </c>
    </row>
    <row r="26" spans="1:22" ht="13.5">
      <c r="A26" s="52">
        <v>22</v>
      </c>
      <c r="B26" s="209">
        <f t="shared" si="8"/>
        <v>21523359.918099925</v>
      </c>
      <c r="C26" s="204">
        <v>0.03</v>
      </c>
      <c r="D26" s="34" t="s">
        <v>121</v>
      </c>
      <c r="E26" s="35" t="s">
        <v>122</v>
      </c>
      <c r="F26" s="36" t="s">
        <v>124</v>
      </c>
      <c r="G26" s="36" t="s">
        <v>125</v>
      </c>
      <c r="H26" s="36" t="s">
        <v>113</v>
      </c>
      <c r="I26" s="37">
        <v>41194.666666666664</v>
      </c>
      <c r="J26" s="38">
        <v>0.97855</v>
      </c>
      <c r="K26" s="38">
        <v>0.97664</v>
      </c>
      <c r="L26" s="39">
        <f t="shared" si="0"/>
        <v>0.9802500000000001</v>
      </c>
      <c r="M26" s="36" t="s">
        <v>125</v>
      </c>
      <c r="N26" s="37">
        <v>41213.333333333336</v>
      </c>
      <c r="O26" s="38">
        <v>0.9982</v>
      </c>
      <c r="P26" s="53" t="s">
        <v>118</v>
      </c>
      <c r="Q26" s="43" t="str">
        <f t="shared" si="1"/>
        <v>勝ち</v>
      </c>
      <c r="R26" s="44">
        <f t="shared" si="2"/>
        <v>19.100000000000783</v>
      </c>
      <c r="S26" s="45">
        <f t="shared" si="3"/>
        <v>3614000</v>
      </c>
      <c r="T26" s="46">
        <f t="shared" si="6"/>
        <v>196.49999999999943</v>
      </c>
      <c r="U26" s="47">
        <f t="shared" si="4"/>
        <v>0</v>
      </c>
      <c r="V26" s="48">
        <f t="shared" si="5"/>
        <v>6642042.302999981</v>
      </c>
    </row>
    <row r="27" spans="1:22" ht="13.5">
      <c r="A27" s="52">
        <v>23</v>
      </c>
      <c r="B27" s="209">
        <f t="shared" si="8"/>
        <v>28165402.221099906</v>
      </c>
      <c r="C27" s="204">
        <v>0.03</v>
      </c>
      <c r="D27" s="34" t="s">
        <v>121</v>
      </c>
      <c r="E27" s="35" t="s">
        <v>122</v>
      </c>
      <c r="F27" s="36" t="s">
        <v>124</v>
      </c>
      <c r="G27" s="36" t="s">
        <v>125</v>
      </c>
      <c r="H27" s="36" t="s">
        <v>102</v>
      </c>
      <c r="I27" s="37">
        <v>41214.5</v>
      </c>
      <c r="J27" s="38">
        <v>0.99947</v>
      </c>
      <c r="K27" s="38">
        <v>1.00123</v>
      </c>
      <c r="L27" s="39">
        <f t="shared" si="0"/>
        <v>0.9977699999999999</v>
      </c>
      <c r="M27" s="36" t="s">
        <v>125</v>
      </c>
      <c r="N27" s="37">
        <v>41220.666666666664</v>
      </c>
      <c r="O27" s="38">
        <v>0.99511</v>
      </c>
      <c r="P27" s="53" t="s">
        <v>119</v>
      </c>
      <c r="Q27" s="43" t="str">
        <f t="shared" si="1"/>
        <v>勝ち</v>
      </c>
      <c r="R27" s="44">
        <f t="shared" si="2"/>
        <v>17.600000000000946</v>
      </c>
      <c r="S27" s="45">
        <f t="shared" si="3"/>
        <v>5133000</v>
      </c>
      <c r="T27" s="46">
        <f t="shared" si="6"/>
        <v>43.59999999999919</v>
      </c>
      <c r="U27" s="47">
        <f t="shared" si="4"/>
        <v>0</v>
      </c>
      <c r="V27" s="48">
        <f t="shared" si="5"/>
        <v>2093190.176399961</v>
      </c>
    </row>
    <row r="28" spans="1:22" ht="13.5">
      <c r="A28" s="52">
        <v>24</v>
      </c>
      <c r="B28" s="209">
        <f t="shared" si="8"/>
        <v>30258592.397499867</v>
      </c>
      <c r="C28" s="204">
        <v>0.03</v>
      </c>
      <c r="D28" s="34" t="s">
        <v>121</v>
      </c>
      <c r="E28" s="35" t="s">
        <v>122</v>
      </c>
      <c r="F28" s="36" t="s">
        <v>124</v>
      </c>
      <c r="G28" s="36" t="s">
        <v>125</v>
      </c>
      <c r="H28" s="36" t="s">
        <v>102</v>
      </c>
      <c r="I28" s="37">
        <v>41232.166666666664</v>
      </c>
      <c r="J28" s="38">
        <v>0.99985</v>
      </c>
      <c r="K28" s="38">
        <v>1.0016</v>
      </c>
      <c r="L28" s="39">
        <f t="shared" si="0"/>
        <v>0.99815</v>
      </c>
      <c r="M28" s="36" t="s">
        <v>125</v>
      </c>
      <c r="N28" s="37">
        <v>41240.666666666664</v>
      </c>
      <c r="O28" s="38">
        <v>0.99448</v>
      </c>
      <c r="P28" s="53" t="s">
        <v>119</v>
      </c>
      <c r="Q28" s="43" t="str">
        <f t="shared" si="1"/>
        <v>勝ち</v>
      </c>
      <c r="R28" s="44">
        <f t="shared" si="2"/>
        <v>17.50000000000029</v>
      </c>
      <c r="S28" s="45">
        <f t="shared" si="3"/>
        <v>5546000</v>
      </c>
      <c r="T28" s="46">
        <f t="shared" si="6"/>
        <v>53.699999999999854</v>
      </c>
      <c r="U28" s="47">
        <f t="shared" si="4"/>
        <v>0</v>
      </c>
      <c r="V28" s="48">
        <f t="shared" si="5"/>
        <v>2785512.330599992</v>
      </c>
    </row>
    <row r="29" spans="1:22" ht="13.5">
      <c r="A29" s="52">
        <v>25</v>
      </c>
      <c r="B29" s="209">
        <f t="shared" si="8"/>
        <v>33044104.72809986</v>
      </c>
      <c r="C29" s="204">
        <v>0.03</v>
      </c>
      <c r="D29" s="34" t="s">
        <v>121</v>
      </c>
      <c r="E29" s="35" t="s">
        <v>122</v>
      </c>
      <c r="F29" s="36" t="s">
        <v>124</v>
      </c>
      <c r="G29" s="36" t="s">
        <v>125</v>
      </c>
      <c r="H29" s="36" t="s">
        <v>102</v>
      </c>
      <c r="I29" s="37">
        <v>41247.666666666664</v>
      </c>
      <c r="J29" s="38">
        <v>0.99338</v>
      </c>
      <c r="K29" s="38">
        <v>0.99494</v>
      </c>
      <c r="L29" s="39">
        <f t="shared" si="0"/>
        <v>0.99168</v>
      </c>
      <c r="M29" s="36" t="s">
        <v>125</v>
      </c>
      <c r="N29" s="276" t="s">
        <v>127</v>
      </c>
      <c r="O29" s="38">
        <v>0.98461</v>
      </c>
      <c r="P29" s="53" t="s">
        <v>119</v>
      </c>
      <c r="Q29" s="43" t="str">
        <f t="shared" si="1"/>
        <v>勝ち</v>
      </c>
      <c r="R29" s="44">
        <f t="shared" si="2"/>
        <v>15.600000000000058</v>
      </c>
      <c r="S29" s="45">
        <f t="shared" si="3"/>
        <v>6794000</v>
      </c>
      <c r="T29" s="46">
        <f t="shared" si="6"/>
        <v>87.70000000000056</v>
      </c>
      <c r="U29" s="47">
        <f t="shared" si="4"/>
        <v>0</v>
      </c>
      <c r="V29" s="48">
        <f t="shared" si="5"/>
        <v>5572833.531400035</v>
      </c>
    </row>
    <row r="30" spans="1:22" ht="13.5">
      <c r="A30" s="52">
        <v>26</v>
      </c>
      <c r="B30" s="209">
        <f t="shared" si="8"/>
        <v>38616938.25949989</v>
      </c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4">
        <f>SUM(T5:T124)+SUM(U5:U124)</f>
        <v>2816.4999999999964</v>
      </c>
      <c r="U125" s="264"/>
      <c r="V125" s="77">
        <f>SUM(V5:V124)</f>
        <v>37616938.25949989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5" t="s">
        <v>34</v>
      </c>
      <c r="G128" s="266"/>
      <c r="H128" s="267"/>
      <c r="J128" s="268" t="s">
        <v>82</v>
      </c>
      <c r="K128" s="269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0"/>
      <c r="H129" s="271"/>
      <c r="J129" s="218" t="s">
        <v>109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10</v>
      </c>
      <c r="H130" s="259"/>
      <c r="J130" s="218" t="s">
        <v>110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15</v>
      </c>
      <c r="H131" s="259"/>
      <c r="J131" s="218" t="s">
        <v>111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25</v>
      </c>
      <c r="H133" s="259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0">
        <f>COUNTIF(Q5:Q124,"負け")</f>
        <v>0</v>
      </c>
      <c r="H134" s="261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0">
        <f>COUNTIF(Q5:Q124,"ドロー")</f>
        <v>0</v>
      </c>
      <c r="H135" s="261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0">
        <f>COUNTIF(Q5:Q124,"保留中")</f>
        <v>0</v>
      </c>
      <c r="H136" s="261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1">
        <f>SUMIF(Q5:Q124,"勝ち",V5:V124)</f>
        <v>37616938.25949989</v>
      </c>
      <c r="H137" s="25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3">
        <f>SUMIF(Q5:Q124,"負け",V5:V124)</f>
        <v>0</v>
      </c>
      <c r="H138" s="254"/>
      <c r="J138" s="255" t="s">
        <v>51</v>
      </c>
      <c r="K138" s="255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1">
        <f>G137+G138</f>
        <v>37616938.25949989</v>
      </c>
      <c r="H139" s="252"/>
      <c r="J139" s="201" t="s">
        <v>104</v>
      </c>
      <c r="K139" s="82">
        <f aca="true" t="shared" si="19" ref="K139:K144">COUNTIF($F$5:$F$124,J139)</f>
        <v>0</v>
      </c>
      <c r="L139" s="82">
        <f>_xlfn.COUNTIFS($H$5:$H$124,"買い",$F$5:$F$124,J139)</f>
        <v>0</v>
      </c>
      <c r="M139" s="83">
        <f>_xlfn.COUNTIFS($F$5:$F$124,J139,$H$5:$H$124,"売り")</f>
        <v>0</v>
      </c>
      <c r="N139" s="84">
        <f aca="true" t="shared" si="20" ref="N139:N144">SUMIF($F$5:$F$124,J139,$T$5:$T$124)+SUMIF($F$5:$F$124,J139,$U$5:$U$124)</f>
        <v>0</v>
      </c>
      <c r="O139" s="160" t="e">
        <f>_xlfn.COUNTIFS($Q$5:$Q$124,"勝ち",$F$5:$F$124,J139)/(COUNTIF($F$5:$F$124,J139)-_xlfn.COUNTIFS($F$5:$F$124,J139,$Q$5:$Q$124,"ドロー"))*100</f>
        <v>#DIV/0!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6">
        <f>G137/COUNTA(H5:H124)</f>
        <v>1504677.5303799957</v>
      </c>
      <c r="H140" s="257"/>
      <c r="J140" s="218" t="s">
        <v>108</v>
      </c>
      <c r="K140" s="82">
        <f t="shared" si="19"/>
        <v>25</v>
      </c>
      <c r="L140" s="82">
        <f>_xlfn.COUNTIFS($H$5:$H$124,"買い",$F$5:$F$124,J140)</f>
        <v>10</v>
      </c>
      <c r="M140" s="83">
        <f>_xlfn.COUNTIFS($F$5:$F$124,J140,$H$5:$H$124,"売り")</f>
        <v>15</v>
      </c>
      <c r="N140" s="84">
        <f t="shared" si="20"/>
        <v>2816.4999999999964</v>
      </c>
      <c r="O140" s="160">
        <f>_xlfn.COUNTIFS($Q$5:$Q$124,"勝ち",$F$5:$F$124,J140)/(COUNTIF($F$5:$F$124,J140)-_xlfn.COUNTIFS($F$5:$F$124,J140,$Q$5:$Q$124,"ドロー"))*100</f>
        <v>100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6">
        <f>G139/COUNTA(H5:H124)</f>
        <v>1504677.5303799957</v>
      </c>
      <c r="H141" s="257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5"/>
      <c r="H142" s="246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5"/>
      <c r="H143" s="246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7">
        <f>MAX(T5:T124)</f>
        <v>253.79999999999956</v>
      </c>
      <c r="H144" s="248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9">
        <f>G133/(G132-G135)</f>
        <v>1</v>
      </c>
      <c r="H145" s="250"/>
      <c r="J145" s="85" t="s">
        <v>33</v>
      </c>
      <c r="K145" s="86">
        <f>SUM(K139:K144)</f>
        <v>25</v>
      </c>
      <c r="L145" s="86">
        <f>SUM(L139:L144)</f>
        <v>10</v>
      </c>
      <c r="M145" s="86">
        <f>SUM(M139:M144)</f>
        <v>15</v>
      </c>
      <c r="N145" s="80">
        <f>SUM(N139:N144)</f>
        <v>2816.4999999999964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2015-08-13T20:42:19Z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