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過去検証ＮＺＤＪＰＹ４Ｈ" sheetId="5" r:id="rId5"/>
    <sheet name="過去検証ＥＵＲＪＰＹ　４Ｈ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<sst xmlns="http://schemas.openxmlformats.org/spreadsheetml/2006/main" count="555" uniqueCount="140">
  <si>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</si>
  <si>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</si>
  <si>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</si>
  <si>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</si>
  <si>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</si>
  <si>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</si>
  <si>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</si>
  <si>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</si>
  <si>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</si>
  <si>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</si>
  <si>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</si>
  <si>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</si>
  <si>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</si>
  <si>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</si>
  <si>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</si>
  <si>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</si>
  <si>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</si>
  <si>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</si>
  <si>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</si>
  <si>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</si>
  <si>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</si>
  <si>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</si>
  <si>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</si>
  <si>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</si>
  <si>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</si>
  <si>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</si>
  <si>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</si>
  <si>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</si>
  <si>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</si>
  <si>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</si>
  <si>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</si>
  <si>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</si>
  <si>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</si>
  <si>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</si>
  <si>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</si>
  <si>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</si>
  <si>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</si>
  <si>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</si>
  <si>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</si>
  <si>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</si>
  <si>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</si>
  <si>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</si>
  <si>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</si>
  <si>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</si>
  <si>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</si>
  <si>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</si>
  <si>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</si>
  <si>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</si>
  <si>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</si>
  <si>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</si>
  <si>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</si>
  <si>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</si>
  <si>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</si>
  <si>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</si>
  <si>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</si>
  <si>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</si>
  <si>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</si>
  <si>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</si>
  <si>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</si>
  <si>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</si>
  <si>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</si>
  <si>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</si>
  <si>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</si>
  <si>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</si>
  <si>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</si>
  <si>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</si>
  <si>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</si>
  <si>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</si>
  <si>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</si>
  <si>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</si>
  <si>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</si>
  <si>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</si>
  <si>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</si>
  <si>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</si>
  <si>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</si>
  <si>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</si>
  <si>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</si>
  <si>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</si>
  <si>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</si>
  <si>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</si>
  <si>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</si>
  <si>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</si>
  <si>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</si>
  <si>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</si>
  <si>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</si>
  <si>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</si>
  <si>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</si>
  <si>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</si>
  <si>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</si>
  <si>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</si>
  <si>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</si>
  <si>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</si>
  <si>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</si>
  <si>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</si>
  <si>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</si>
  <si>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</si>
  <si>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</si>
  <si>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</si>
  <si>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</si>
  <si>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</si>
  <si>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</si>
  <si>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</si>
  <si>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</si>
  <si>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</si>
  <si>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</si>
  <si>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ロスカット値</t>
  </si>
  <si>
    <t>エントリー値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</si>
  <si>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</si>
  <si>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</si>
  <si>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</si>
  <si>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</si>
  <si>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</si>
  <si>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</si>
  <si>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</si>
  <si>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EURJPY</t>
  </si>
  <si>
    <t>PB</t>
  </si>
  <si>
    <t>4h</t>
  </si>
  <si>
    <t>ストップ切り上げ　　</t>
  </si>
  <si>
    <t>勝ち</t>
  </si>
  <si>
    <t>ストップ切り下げ</t>
  </si>
  <si>
    <t>ストップ切り上げ</t>
  </si>
  <si>
    <t>勝ち</t>
  </si>
  <si>
    <r>
      <t>4</t>
    </r>
    <r>
      <rPr>
        <sz val="11"/>
        <color indexed="8"/>
        <rFont val="ＭＳ Ｐゴシック"/>
        <family val="3"/>
      </rPr>
      <t>6 0</t>
    </r>
  </si>
  <si>
    <r>
      <t>2</t>
    </r>
    <r>
      <rPr>
        <sz val="11"/>
        <color indexed="8"/>
        <rFont val="ＭＳ Ｐゴシック"/>
        <family val="3"/>
      </rPr>
      <t>002/4/4 8;00</t>
    </r>
  </si>
  <si>
    <t>PB</t>
  </si>
  <si>
    <t>PB</t>
  </si>
  <si>
    <t>4h</t>
  </si>
  <si>
    <t>NZD</t>
  </si>
  <si>
    <t>JPY</t>
  </si>
  <si>
    <r>
      <t>2</t>
    </r>
    <r>
      <rPr>
        <sz val="11"/>
        <color indexed="8"/>
        <rFont val="ＭＳ Ｐゴシック"/>
        <family val="3"/>
      </rPr>
      <t>012/5/10 20::00</t>
    </r>
  </si>
  <si>
    <t>勝ち</t>
  </si>
  <si>
    <t>仕掛け１240分のモノです・</t>
  </si>
  <si>
    <t>ＮＺＤＪＰＹの7番目の画像です・</t>
  </si>
  <si>
    <t>仕掛け１240分のものです</t>
  </si>
  <si>
    <t>ＥＵＲＪＰＹ8番目の画像です</t>
  </si>
  <si>
    <t>仕掛け1240分のものです</t>
  </si>
  <si>
    <t>ＥＵＲＪＰＹ10番目の画像です・</t>
  </si>
  <si>
    <t>これで、240分の検証100になります。</t>
  </si>
  <si>
    <t>日足の時よりなれたからやりやすいはずでしたが、時間が短くなった方が乱高下があって、やりにくかったです。</t>
  </si>
  <si>
    <t>過去のチャートだからついいいものを探してしまったので、結果勝ちましたが、実際だと、慎重にならないと負けもあると実感しました。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</si>
</sst>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0" fontId="0" fillId="35" borderId="26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361950</xdr:colOff>
      <xdr:row>15</xdr:row>
      <xdr:rowOff>85725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3</xdr:col>
      <xdr:colOff>38100</xdr:colOff>
      <xdr:row>33</xdr:row>
      <xdr:rowOff>104775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71900"/>
          <a:ext cx="2095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85725</xdr:colOff>
      <xdr:row>62</xdr:row>
      <xdr:rowOff>76200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29450"/>
          <a:ext cx="69437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6" t="s">
        <v>0</v>
      </c>
      <c r="E1" s="237"/>
      <c r="F1" s="238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9">
        <v>500000</v>
      </c>
      <c r="E2" s="239"/>
      <c r="F2" s="239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40">
        <f>SUM(D2+F36)</f>
        <v>500000</v>
      </c>
      <c r="E3" s="240"/>
      <c r="F3" s="241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42" t="s">
        <v>87</v>
      </c>
      <c r="B36" s="243"/>
      <c r="C36" s="244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M73"/>
  <sheetViews>
    <sheetView tabSelected="1" zoomScalePageLayoutView="0" workbookViewId="0" topLeftCell="A37">
      <selection activeCell="O65" sqref="O65"/>
    </sheetView>
  </sheetViews>
  <sheetFormatPr defaultColWidth="9.00390625" defaultRowHeight="13.5"/>
  <sheetData>
    <row r="2" ht="13.5">
      <c r="H2" t="s">
        <v>131</v>
      </c>
    </row>
    <row r="4" ht="13.5">
      <c r="H4" t="s">
        <v>132</v>
      </c>
    </row>
    <row r="24" ht="13.5">
      <c r="H24" t="s">
        <v>133</v>
      </c>
    </row>
    <row r="25" ht="13.5">
      <c r="H25" t="s">
        <v>134</v>
      </c>
    </row>
    <row r="43" ht="13.5">
      <c r="M43" t="s">
        <v>135</v>
      </c>
    </row>
    <row r="44" ht="13.5">
      <c r="M44" t="s">
        <v>136</v>
      </c>
    </row>
    <row r="71" ht="13.5">
      <c r="E71" t="s">
        <v>137</v>
      </c>
    </row>
    <row r="72" ht="13.5">
      <c r="E72" t="s">
        <v>138</v>
      </c>
    </row>
    <row r="73" ht="13.5">
      <c r="E73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6"/>
      <c r="Q3" s="247"/>
      <c r="R3" s="247"/>
      <c r="S3" s="247"/>
      <c r="T3" s="247"/>
      <c r="U3" s="247"/>
      <c r="V3" s="247"/>
    </row>
    <row r="4" spans="1:22" ht="13.5">
      <c r="A4" s="154"/>
      <c r="B4" s="245"/>
      <c r="C4" s="245"/>
      <c r="D4" s="245"/>
      <c r="P4" s="247"/>
      <c r="Q4" s="247"/>
      <c r="R4" s="247"/>
      <c r="S4" s="247"/>
      <c r="T4" s="247"/>
      <c r="U4" s="247"/>
      <c r="V4" s="247"/>
    </row>
    <row r="5" spans="1:22" ht="13.5">
      <c r="A5" s="154"/>
      <c r="B5" s="245"/>
      <c r="C5" s="245"/>
      <c r="D5" s="245"/>
      <c r="P5" s="247"/>
      <c r="Q5" s="247"/>
      <c r="R5" s="247"/>
      <c r="S5" s="247"/>
      <c r="T5" s="247"/>
      <c r="U5" s="247"/>
      <c r="V5" s="247"/>
    </row>
    <row r="6" spans="1:22" ht="13.5">
      <c r="A6" s="155"/>
      <c r="B6" s="245"/>
      <c r="C6" s="245"/>
      <c r="D6" s="245"/>
      <c r="P6" s="247"/>
      <c r="Q6" s="247"/>
      <c r="R6" s="247"/>
      <c r="S6" s="247"/>
      <c r="T6" s="247"/>
      <c r="U6" s="247"/>
      <c r="V6" s="247"/>
    </row>
    <row r="7" spans="1:22" ht="13.5">
      <c r="A7" s="154"/>
      <c r="G7" s="156"/>
      <c r="P7" s="247"/>
      <c r="Q7" s="247"/>
      <c r="R7" s="247"/>
      <c r="S7" s="247"/>
      <c r="T7" s="247"/>
      <c r="U7" s="247"/>
      <c r="V7" s="247"/>
    </row>
    <row r="8" spans="1:22" ht="13.5">
      <c r="A8" s="154" t="s">
        <v>55</v>
      </c>
      <c r="P8" s="247"/>
      <c r="Q8" s="247"/>
      <c r="R8" s="247"/>
      <c r="S8" s="247"/>
      <c r="T8" s="247"/>
      <c r="U8" s="247"/>
      <c r="V8" s="247"/>
    </row>
    <row r="9" spans="16:22" ht="8.25" customHeight="1">
      <c r="P9" s="247"/>
      <c r="Q9" s="247"/>
      <c r="R9" s="247"/>
      <c r="S9" s="247"/>
      <c r="T9" s="247"/>
      <c r="U9" s="247"/>
      <c r="V9" s="247"/>
    </row>
    <row r="10" spans="2:22" ht="14.25">
      <c r="B10" s="150" t="s">
        <v>92</v>
      </c>
      <c r="P10" s="247"/>
      <c r="Q10" s="247"/>
      <c r="R10" s="247"/>
      <c r="S10" s="247"/>
      <c r="T10" s="247"/>
      <c r="U10" s="247"/>
      <c r="V10" s="247"/>
    </row>
    <row r="11" spans="16:22" ht="13.5">
      <c r="P11" s="247"/>
      <c r="Q11" s="247"/>
      <c r="R11" s="247"/>
      <c r="S11" s="247"/>
      <c r="T11" s="247"/>
      <c r="U11" s="247"/>
      <c r="V11" s="247"/>
    </row>
    <row r="12" spans="16:22" ht="13.5">
      <c r="P12" s="247"/>
      <c r="Q12" s="247"/>
      <c r="R12" s="247"/>
      <c r="S12" s="247"/>
      <c r="T12" s="247"/>
      <c r="U12" s="247"/>
      <c r="V12" s="247"/>
    </row>
    <row r="13" spans="16:22" ht="13.5">
      <c r="P13" s="247"/>
      <c r="Q13" s="247"/>
      <c r="R13" s="247"/>
      <c r="S13" s="247"/>
      <c r="T13" s="247"/>
      <c r="U13" s="247"/>
      <c r="V13" s="247"/>
    </row>
    <row r="14" spans="16:22" ht="13.5">
      <c r="P14" s="247"/>
      <c r="Q14" s="247"/>
      <c r="R14" s="247"/>
      <c r="S14" s="247"/>
      <c r="T14" s="247"/>
      <c r="U14" s="247"/>
      <c r="V14" s="247"/>
    </row>
    <row r="15" spans="16:22" ht="13.5">
      <c r="P15" s="247"/>
      <c r="Q15" s="247"/>
      <c r="R15" s="247"/>
      <c r="S15" s="247"/>
      <c r="T15" s="247"/>
      <c r="U15" s="247"/>
      <c r="V15" s="247"/>
    </row>
    <row r="16" spans="16:22" ht="13.5">
      <c r="P16" s="247"/>
      <c r="Q16" s="247"/>
      <c r="R16" s="247"/>
      <c r="S16" s="247"/>
      <c r="T16" s="247"/>
      <c r="U16" s="247"/>
      <c r="V16" s="247"/>
    </row>
    <row r="17" spans="16:22" ht="13.5">
      <c r="P17" s="247"/>
      <c r="Q17" s="247"/>
      <c r="R17" s="247"/>
      <c r="S17" s="247"/>
      <c r="T17" s="247"/>
      <c r="U17" s="247"/>
      <c r="V17" s="247"/>
    </row>
    <row r="18" spans="16:22" ht="13.5">
      <c r="P18" s="247"/>
      <c r="Q18" s="247"/>
      <c r="R18" s="247"/>
      <c r="S18" s="247"/>
      <c r="T18" s="247"/>
      <c r="U18" s="247"/>
      <c r="V18" s="247"/>
    </row>
    <row r="19" spans="16:22" ht="13.5">
      <c r="P19" s="247"/>
      <c r="Q19" s="247"/>
      <c r="R19" s="247"/>
      <c r="S19" s="247"/>
      <c r="T19" s="247"/>
      <c r="U19" s="247"/>
      <c r="V19" s="247"/>
    </row>
    <row r="20" spans="2:22" ht="14.25">
      <c r="B20" s="150" t="s">
        <v>93</v>
      </c>
      <c r="P20" s="247"/>
      <c r="Q20" s="247"/>
      <c r="R20" s="247"/>
      <c r="S20" s="247"/>
      <c r="T20" s="247"/>
      <c r="U20" s="247"/>
      <c r="V20" s="247"/>
    </row>
    <row r="21" spans="16:22" ht="13.5">
      <c r="P21" s="247"/>
      <c r="Q21" s="247"/>
      <c r="R21" s="247"/>
      <c r="S21" s="247"/>
      <c r="T21" s="247"/>
      <c r="U21" s="247"/>
      <c r="V21" s="247"/>
    </row>
    <row r="22" spans="16:22" ht="13.5">
      <c r="P22" s="247"/>
      <c r="Q22" s="247"/>
      <c r="R22" s="247"/>
      <c r="S22" s="247"/>
      <c r="T22" s="247"/>
      <c r="U22" s="247"/>
      <c r="V22" s="247"/>
    </row>
    <row r="23" spans="16:22" ht="13.5">
      <c r="P23" s="247"/>
      <c r="Q23" s="247"/>
      <c r="R23" s="247"/>
      <c r="S23" s="247"/>
      <c r="T23" s="247"/>
      <c r="U23" s="247"/>
      <c r="V23" s="247"/>
    </row>
    <row r="24" spans="16:22" ht="13.5">
      <c r="P24" s="247"/>
      <c r="Q24" s="247"/>
      <c r="R24" s="247"/>
      <c r="S24" s="247"/>
      <c r="T24" s="247"/>
      <c r="U24" s="247"/>
      <c r="V24" s="247"/>
    </row>
    <row r="25" spans="2:22" ht="14.25">
      <c r="B25" s="150" t="s">
        <v>94</v>
      </c>
      <c r="P25" s="247"/>
      <c r="Q25" s="247"/>
      <c r="R25" s="247"/>
      <c r="S25" s="247"/>
      <c r="T25" s="247"/>
      <c r="U25" s="247"/>
      <c r="V25" s="247"/>
    </row>
    <row r="26" spans="16:22" ht="13.5">
      <c r="P26" s="247"/>
      <c r="Q26" s="247"/>
      <c r="R26" s="247"/>
      <c r="S26" s="247"/>
      <c r="T26" s="247"/>
      <c r="U26" s="247"/>
      <c r="V26" s="247"/>
    </row>
    <row r="27" spans="16:22" ht="13.5">
      <c r="P27" s="247"/>
      <c r="Q27" s="247"/>
      <c r="R27" s="247"/>
      <c r="S27" s="247"/>
      <c r="T27" s="247"/>
      <c r="U27" s="247"/>
      <c r="V27" s="247"/>
    </row>
    <row r="28" spans="16:22" ht="13.5">
      <c r="P28" s="247"/>
      <c r="Q28" s="247"/>
      <c r="R28" s="247"/>
      <c r="S28" s="247"/>
      <c r="T28" s="247"/>
      <c r="U28" s="247"/>
      <c r="V28" s="247"/>
    </row>
    <row r="29" spans="16:22" ht="13.5">
      <c r="P29" s="247"/>
      <c r="Q29" s="247"/>
      <c r="R29" s="247"/>
      <c r="S29" s="247"/>
      <c r="T29" s="247"/>
      <c r="U29" s="247"/>
      <c r="V29" s="247"/>
    </row>
    <row r="30" spans="16:22" ht="13.5">
      <c r="P30" s="247"/>
      <c r="Q30" s="247"/>
      <c r="R30" s="247"/>
      <c r="S30" s="247"/>
      <c r="T30" s="247"/>
      <c r="U30" s="247"/>
      <c r="V30" s="247"/>
    </row>
    <row r="31" spans="16:22" ht="13.5">
      <c r="P31" s="247"/>
      <c r="Q31" s="247"/>
      <c r="R31" s="247"/>
      <c r="S31" s="247"/>
      <c r="T31" s="247"/>
      <c r="U31" s="247"/>
      <c r="V31" s="247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B32" sqref="B32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5" t="s">
        <v>60</v>
      </c>
      <c r="B2" s="275"/>
      <c r="C2" s="276">
        <v>1000000</v>
      </c>
      <c r="D2" s="276"/>
      <c r="E2" s="276"/>
      <c r="F2" s="276"/>
      <c r="G2" s="275" t="s">
        <v>61</v>
      </c>
      <c r="H2" s="275"/>
      <c r="I2" s="19">
        <v>1000000</v>
      </c>
      <c r="J2" s="20" t="s">
        <v>62</v>
      </c>
      <c r="K2" s="214">
        <v>0.03</v>
      </c>
      <c r="N2" s="216"/>
      <c r="O2" s="215" t="s">
        <v>107</v>
      </c>
      <c r="U2" s="18"/>
      <c r="V2" s="18"/>
      <c r="W2" s="18"/>
      <c r="AU2" s="21">
        <f>I2-I2*K2</f>
        <v>970000</v>
      </c>
    </row>
    <row r="3" spans="1:23" ht="21" customHeight="1">
      <c r="A3" s="275" t="s">
        <v>63</v>
      </c>
      <c r="B3" s="275"/>
      <c r="C3" s="277">
        <v>17</v>
      </c>
      <c r="D3" s="277"/>
      <c r="E3" s="277"/>
      <c r="F3" s="277"/>
      <c r="G3" s="278">
        <f>IF(C2&lt;AU2,"警告！！資金不足！！","")</f>
      </c>
      <c r="H3" s="278"/>
      <c r="I3" s="278"/>
      <c r="J3" s="278"/>
      <c r="K3" s="278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5" t="s">
        <v>21</v>
      </c>
      <c r="E4" s="266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1000000</v>
      </c>
      <c r="C5" s="204">
        <v>0.03</v>
      </c>
      <c r="D5" s="34" t="s">
        <v>127</v>
      </c>
      <c r="E5" s="35" t="s">
        <v>74</v>
      </c>
      <c r="F5" s="36" t="s">
        <v>124</v>
      </c>
      <c r="G5" s="36" t="s">
        <v>126</v>
      </c>
      <c r="H5" s="36" t="s">
        <v>113</v>
      </c>
      <c r="I5" s="37">
        <v>40917.833333333336</v>
      </c>
      <c r="J5" s="38">
        <v>60.415</v>
      </c>
      <c r="K5" s="38">
        <v>60.2</v>
      </c>
      <c r="L5" s="39">
        <f aca="true" t="shared" si="0" ref="L5:L68">IF(H5="","",IF(H5="買い",J5+$C$3*VLOOKUP(E5,$X$5:$AA$23,3,FALSE),J5-$C$3*VLOOKUP(E5,$X$5:$AA$23,3,FALSE)))</f>
        <v>60.585</v>
      </c>
      <c r="M5" s="36" t="s">
        <v>126</v>
      </c>
      <c r="N5" s="40">
        <v>40934.833333333336</v>
      </c>
      <c r="O5" s="41">
        <v>63.462</v>
      </c>
      <c r="P5" s="42" t="s">
        <v>120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21.49999999999963</v>
      </c>
      <c r="S5" s="45">
        <f aca="true" t="shared" si="3" ref="S5:S68">IF(K5="",0,ROUNDDOWN((B5*C5)/(VLOOKUP(E5,$X$5:$AA$23,4,FALSE)*R5),-3))</f>
        <v>139000</v>
      </c>
      <c r="T5" s="46">
        <f aca="true" t="shared" si="4" ref="T5:T68">IF(Q5="勝ち",IF(H5="買い",(O5-J5)/VLOOKUP(E5,$X$5:$AA$23,3,FALSE),(J5-O5)/VLOOKUP(E5,$X$5:$AA$23,3,FALSE)),0)</f>
        <v>304.7000000000004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423533.0000000005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>
        <v>1423533</v>
      </c>
      <c r="C6" s="234">
        <v>0.03</v>
      </c>
      <c r="D6" s="34" t="s">
        <v>127</v>
      </c>
      <c r="E6" s="35" t="s">
        <v>128</v>
      </c>
      <c r="F6" s="36" t="s">
        <v>125</v>
      </c>
      <c r="G6" s="36" t="s">
        <v>126</v>
      </c>
      <c r="H6" s="36" t="s">
        <v>113</v>
      </c>
      <c r="I6" s="37">
        <v>40940</v>
      </c>
      <c r="J6" s="38">
        <v>63.011</v>
      </c>
      <c r="K6" s="38">
        <v>62.805</v>
      </c>
      <c r="L6" s="39">
        <f t="shared" si="0"/>
        <v>63.181000000000004</v>
      </c>
      <c r="M6" s="36" t="s">
        <v>126</v>
      </c>
      <c r="N6" s="37">
        <v>40960.166666666664</v>
      </c>
      <c r="O6" s="38">
        <v>66.587</v>
      </c>
      <c r="P6" s="53" t="s">
        <v>120</v>
      </c>
      <c r="Q6" s="43" t="str">
        <f t="shared" si="1"/>
        <v>勝ち</v>
      </c>
      <c r="R6" s="44">
        <f t="shared" si="2"/>
        <v>20.600000000000307</v>
      </c>
      <c r="S6" s="45">
        <v>0</v>
      </c>
      <c r="T6" s="46">
        <f t="shared" si="4"/>
        <v>357.6</v>
      </c>
      <c r="U6" s="47">
        <f t="shared" si="5"/>
        <v>0</v>
      </c>
      <c r="V6" s="48">
        <v>738990</v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>
        <v>2162523</v>
      </c>
      <c r="C7" s="204">
        <v>0.03</v>
      </c>
      <c r="D7" s="34" t="s">
        <v>127</v>
      </c>
      <c r="E7" s="35" t="s">
        <v>128</v>
      </c>
      <c r="F7" s="36" t="s">
        <v>125</v>
      </c>
      <c r="G7" s="36" t="s">
        <v>126</v>
      </c>
      <c r="H7" s="36" t="s">
        <v>113</v>
      </c>
      <c r="I7" s="37">
        <v>40963</v>
      </c>
      <c r="J7" s="38">
        <v>66.885</v>
      </c>
      <c r="K7" s="38">
        <v>66.59</v>
      </c>
      <c r="L7" s="39">
        <f t="shared" si="0"/>
        <v>67.055</v>
      </c>
      <c r="M7" s="36" t="s">
        <v>126</v>
      </c>
      <c r="N7" s="37">
        <v>40970</v>
      </c>
      <c r="O7" s="38">
        <v>67.913</v>
      </c>
      <c r="P7" s="53" t="s">
        <v>120</v>
      </c>
      <c r="Q7" s="43" t="str">
        <f t="shared" si="1"/>
        <v>勝ち</v>
      </c>
      <c r="R7" s="44">
        <f t="shared" si="2"/>
        <v>29.50000000000017</v>
      </c>
      <c r="S7" s="45">
        <f t="shared" si="3"/>
        <v>219000</v>
      </c>
      <c r="T7" s="46">
        <f t="shared" si="4"/>
        <v>102.79999999999916</v>
      </c>
      <c r="U7" s="47">
        <f t="shared" si="5"/>
        <v>0</v>
      </c>
      <c r="V7" s="48">
        <f t="shared" si="6"/>
        <v>225131.99999999817</v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>
        <v>2387655</v>
      </c>
      <c r="C8" s="204">
        <v>0.03</v>
      </c>
      <c r="D8" s="34" t="s">
        <v>127</v>
      </c>
      <c r="E8" s="35" t="s">
        <v>128</v>
      </c>
      <c r="F8" s="36" t="s">
        <v>125</v>
      </c>
      <c r="G8" s="36" t="s">
        <v>126</v>
      </c>
      <c r="H8" s="36" t="s">
        <v>113</v>
      </c>
      <c r="I8" s="37">
        <v>40976.333333333336</v>
      </c>
      <c r="J8" s="38">
        <v>67.298</v>
      </c>
      <c r="K8" s="38">
        <v>66.834</v>
      </c>
      <c r="L8" s="39">
        <f t="shared" si="0"/>
        <v>67.468</v>
      </c>
      <c r="M8" s="36" t="s">
        <v>126</v>
      </c>
      <c r="N8" s="37">
        <v>40988.166666666664</v>
      </c>
      <c r="O8" s="38">
        <v>68.756</v>
      </c>
      <c r="P8" s="53" t="s">
        <v>120</v>
      </c>
      <c r="Q8" s="43" t="str">
        <f t="shared" si="1"/>
        <v>勝ち</v>
      </c>
      <c r="R8" s="44">
        <f t="shared" si="2"/>
        <v>46.399999999999864</v>
      </c>
      <c r="S8" s="45">
        <f t="shared" si="3"/>
        <v>154000</v>
      </c>
      <c r="T8" s="46">
        <f t="shared" si="4"/>
        <v>145.79999999999984</v>
      </c>
      <c r="U8" s="47">
        <f t="shared" si="5"/>
        <v>0</v>
      </c>
      <c r="V8" s="48">
        <f t="shared" si="6"/>
        <v>224531.99999999977</v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>
        <v>2612187</v>
      </c>
      <c r="C9" s="204">
        <v>0.03</v>
      </c>
      <c r="D9" s="34" t="s">
        <v>127</v>
      </c>
      <c r="E9" s="35" t="s">
        <v>128</v>
      </c>
      <c r="F9" s="36" t="s">
        <v>125</v>
      </c>
      <c r="G9" s="36" t="s">
        <v>126</v>
      </c>
      <c r="H9" s="36" t="s">
        <v>113</v>
      </c>
      <c r="I9" s="37">
        <v>40994.5</v>
      </c>
      <c r="J9" s="38">
        <v>67.615</v>
      </c>
      <c r="K9" s="38">
        <v>67.264</v>
      </c>
      <c r="L9" s="39">
        <f t="shared" si="0"/>
        <v>67.785</v>
      </c>
      <c r="M9" s="36" t="s">
        <v>126</v>
      </c>
      <c r="N9" s="37">
        <v>40995.833333333336</v>
      </c>
      <c r="O9" s="38">
        <v>68.087</v>
      </c>
      <c r="P9" s="53" t="s">
        <v>120</v>
      </c>
      <c r="Q9" s="43" t="s">
        <v>130</v>
      </c>
      <c r="R9" s="44">
        <f t="shared" si="2"/>
        <v>35.09999999999991</v>
      </c>
      <c r="S9" s="45">
        <f t="shared" si="3"/>
        <v>223000</v>
      </c>
      <c r="T9" s="46">
        <v>47.2</v>
      </c>
      <c r="U9" s="47">
        <f t="shared" si="5"/>
        <v>0</v>
      </c>
      <c r="V9" s="48">
        <f t="shared" si="6"/>
        <v>105256</v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>
        <v>2717433</v>
      </c>
      <c r="C10" s="204">
        <v>0.03</v>
      </c>
      <c r="D10" s="34" t="s">
        <v>127</v>
      </c>
      <c r="E10" s="35" t="s">
        <v>128</v>
      </c>
      <c r="F10" s="36" t="s">
        <v>125</v>
      </c>
      <c r="G10" s="36" t="s">
        <v>126</v>
      </c>
      <c r="H10" s="36" t="s">
        <v>102</v>
      </c>
      <c r="I10" s="37">
        <v>41022.166666666664</v>
      </c>
      <c r="J10" s="38">
        <v>66.531</v>
      </c>
      <c r="K10" s="38">
        <v>66.799</v>
      </c>
      <c r="L10" s="39">
        <f t="shared" si="0"/>
        <v>66.361</v>
      </c>
      <c r="M10" s="36" t="s">
        <v>126</v>
      </c>
      <c r="N10" s="37">
        <v>41039.166666666664</v>
      </c>
      <c r="O10" s="38">
        <v>62.703</v>
      </c>
      <c r="P10" s="53" t="s">
        <v>119</v>
      </c>
      <c r="Q10" s="43" t="str">
        <f t="shared" si="1"/>
        <v>勝ち</v>
      </c>
      <c r="R10" s="44">
        <f t="shared" si="2"/>
        <v>26.800000000000068</v>
      </c>
      <c r="S10" s="45">
        <f t="shared" si="3"/>
        <v>304000</v>
      </c>
      <c r="T10" s="46">
        <f t="shared" si="4"/>
        <v>382.8000000000003</v>
      </c>
      <c r="U10" s="47">
        <f t="shared" si="5"/>
        <v>0</v>
      </c>
      <c r="V10" s="48">
        <f>IF(Q10="保留中",-R10*S10*VLOOKUP(E10,$X$5:$AA$23,4,FALSE),IF(O10="","",S10*VLOOKUP(E10,$X$5:$AA$23,4,FALSE)*U10+S10*VLOOKUP(E10,$X$5:$AA$23,4,FALSE)*T10))</f>
        <v>1163712.000000001</v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>
        <v>3881145</v>
      </c>
      <c r="C11" s="204">
        <v>0.03</v>
      </c>
      <c r="D11" s="34" t="s">
        <v>127</v>
      </c>
      <c r="E11" s="35" t="s">
        <v>128</v>
      </c>
      <c r="F11" s="36" t="s">
        <v>125</v>
      </c>
      <c r="G11" s="36" t="s">
        <v>126</v>
      </c>
      <c r="H11" s="36" t="s">
        <v>102</v>
      </c>
      <c r="I11" s="235" t="s">
        <v>129</v>
      </c>
      <c r="J11" s="38">
        <v>62.793</v>
      </c>
      <c r="K11" s="38">
        <v>63.117</v>
      </c>
      <c r="L11" s="39">
        <f t="shared" si="0"/>
        <v>62.623</v>
      </c>
      <c r="M11" s="36" t="s">
        <v>126</v>
      </c>
      <c r="N11" s="37">
        <v>41050.666666666664</v>
      </c>
      <c r="O11" s="38">
        <v>60.381</v>
      </c>
      <c r="P11" s="53" t="s">
        <v>119</v>
      </c>
      <c r="Q11" s="43" t="str">
        <f t="shared" si="1"/>
        <v>勝ち</v>
      </c>
      <c r="R11" s="44">
        <f t="shared" si="2"/>
        <v>32.39999999999981</v>
      </c>
      <c r="S11" s="45">
        <f t="shared" si="3"/>
        <v>359000</v>
      </c>
      <c r="T11" s="46">
        <f t="shared" si="4"/>
        <v>241.1999999999999</v>
      </c>
      <c r="U11" s="47">
        <f t="shared" si="5"/>
        <v>0</v>
      </c>
      <c r="V11" s="48">
        <f t="shared" si="6"/>
        <v>865907.9999999997</v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>
        <v>4747053</v>
      </c>
      <c r="C12" s="204">
        <v>0.03</v>
      </c>
      <c r="D12" s="34" t="s">
        <v>127</v>
      </c>
      <c r="E12" s="35" t="s">
        <v>128</v>
      </c>
      <c r="F12" s="36" t="s">
        <v>125</v>
      </c>
      <c r="G12" s="36" t="s">
        <v>126</v>
      </c>
      <c r="H12" s="36" t="s">
        <v>102</v>
      </c>
      <c r="I12" s="37">
        <v>41051.833333333336</v>
      </c>
      <c r="J12" s="38">
        <v>60.65</v>
      </c>
      <c r="K12" s="38">
        <v>61.041</v>
      </c>
      <c r="L12" s="39">
        <f t="shared" si="0"/>
        <v>60.48</v>
      </c>
      <c r="M12" s="36" t="s">
        <v>126</v>
      </c>
      <c r="N12" s="37">
        <v>41064.333333333336</v>
      </c>
      <c r="O12" s="38">
        <v>58.839</v>
      </c>
      <c r="P12" s="53" t="s">
        <v>119</v>
      </c>
      <c r="Q12" s="43" t="str">
        <f t="shared" si="1"/>
        <v>勝ち</v>
      </c>
      <c r="R12" s="44">
        <f t="shared" si="2"/>
        <v>39.099999999999824</v>
      </c>
      <c r="S12" s="45">
        <f t="shared" si="3"/>
        <v>364000</v>
      </c>
      <c r="T12" s="46">
        <f t="shared" si="4"/>
        <v>181.1</v>
      </c>
      <c r="U12" s="47">
        <f t="shared" si="5"/>
        <v>0</v>
      </c>
      <c r="V12" s="48">
        <f t="shared" si="6"/>
        <v>659204</v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>
        <v>5406257</v>
      </c>
      <c r="C13" s="204">
        <v>0.03</v>
      </c>
      <c r="D13" s="34" t="s">
        <v>127</v>
      </c>
      <c r="E13" s="35" t="s">
        <v>128</v>
      </c>
      <c r="F13" s="36" t="s">
        <v>125</v>
      </c>
      <c r="G13" s="36" t="s">
        <v>126</v>
      </c>
      <c r="H13" s="36" t="s">
        <v>113</v>
      </c>
      <c r="I13" s="37">
        <v>41065.333333333336</v>
      </c>
      <c r="J13" s="38">
        <v>59.522</v>
      </c>
      <c r="K13" s="38">
        <v>59.169</v>
      </c>
      <c r="L13" s="39">
        <f t="shared" si="0"/>
        <v>59.692</v>
      </c>
      <c r="M13" s="36" t="s">
        <v>126</v>
      </c>
      <c r="N13" s="37">
        <v>41068</v>
      </c>
      <c r="O13" s="38">
        <v>60.923</v>
      </c>
      <c r="P13" s="53" t="s">
        <v>120</v>
      </c>
      <c r="Q13" s="43" t="str">
        <f t="shared" si="1"/>
        <v>勝ち</v>
      </c>
      <c r="R13" s="44">
        <f t="shared" si="2"/>
        <v>35.30000000000015</v>
      </c>
      <c r="S13" s="45">
        <f t="shared" si="3"/>
        <v>459000</v>
      </c>
      <c r="T13" s="46">
        <f t="shared" si="4"/>
        <v>140.10000000000034</v>
      </c>
      <c r="U13" s="47">
        <f t="shared" si="5"/>
        <v>0</v>
      </c>
      <c r="V13" s="48">
        <f t="shared" si="6"/>
        <v>643059.0000000015</v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>
        <v>6049316</v>
      </c>
      <c r="C14" s="204">
        <v>0.03</v>
      </c>
      <c r="D14" s="34" t="s">
        <v>127</v>
      </c>
      <c r="E14" s="35" t="s">
        <v>128</v>
      </c>
      <c r="F14" s="36" t="s">
        <v>125</v>
      </c>
      <c r="G14" s="36" t="s">
        <v>126</v>
      </c>
      <c r="H14" s="36" t="s">
        <v>113</v>
      </c>
      <c r="I14" s="37">
        <v>41068.333333333336</v>
      </c>
      <c r="J14" s="38">
        <v>60.633</v>
      </c>
      <c r="K14" s="38">
        <v>60.265</v>
      </c>
      <c r="L14" s="39">
        <f t="shared" si="0"/>
        <v>60.803000000000004</v>
      </c>
      <c r="M14" s="36" t="s">
        <v>126</v>
      </c>
      <c r="N14" s="37">
        <v>41088.333333333336</v>
      </c>
      <c r="O14" s="38">
        <v>63.041</v>
      </c>
      <c r="P14" s="53" t="s">
        <v>120</v>
      </c>
      <c r="Q14" s="43" t="str">
        <f t="shared" si="1"/>
        <v>勝ち</v>
      </c>
      <c r="R14" s="44">
        <f t="shared" si="2"/>
        <v>36.80000000000021</v>
      </c>
      <c r="S14" s="45">
        <f t="shared" si="3"/>
        <v>493000</v>
      </c>
      <c r="T14" s="46">
        <f t="shared" si="4"/>
        <v>240.79999999999941</v>
      </c>
      <c r="U14" s="47">
        <f t="shared" si="5"/>
        <v>0</v>
      </c>
      <c r="V14" s="48">
        <f t="shared" si="6"/>
        <v>1187143.9999999972</v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>
        <v>7236460</v>
      </c>
      <c r="C15" s="204">
        <v>0.03</v>
      </c>
      <c r="D15" s="34" t="s">
        <v>127</v>
      </c>
      <c r="E15" s="35" t="s">
        <v>128</v>
      </c>
      <c r="F15" s="36" t="s">
        <v>125</v>
      </c>
      <c r="G15" s="36" t="s">
        <v>126</v>
      </c>
      <c r="H15" s="36" t="s">
        <v>102</v>
      </c>
      <c r="I15" s="37">
        <v>41096.166666666664</v>
      </c>
      <c r="J15" s="38">
        <v>64.13</v>
      </c>
      <c r="K15" s="38">
        <v>64.285</v>
      </c>
      <c r="L15" s="39">
        <f t="shared" si="0"/>
        <v>63.959999999999994</v>
      </c>
      <c r="M15" s="36" t="s">
        <v>126</v>
      </c>
      <c r="N15" s="37">
        <v>41108</v>
      </c>
      <c r="O15" s="38">
        <v>63.189</v>
      </c>
      <c r="P15" s="53" t="s">
        <v>119</v>
      </c>
      <c r="Q15" s="43" t="str">
        <f t="shared" si="1"/>
        <v>勝ち</v>
      </c>
      <c r="R15" s="44">
        <f t="shared" si="2"/>
        <v>15.500000000000114</v>
      </c>
      <c r="S15" s="45">
        <f t="shared" si="3"/>
        <v>1400000</v>
      </c>
      <c r="T15" s="46">
        <f t="shared" si="4"/>
        <v>94.09999999999954</v>
      </c>
      <c r="U15" s="47">
        <f t="shared" si="5"/>
        <v>0</v>
      </c>
      <c r="V15" s="48">
        <f t="shared" si="6"/>
        <v>1317399.9999999935</v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>
        <v>8553860</v>
      </c>
      <c r="C16" s="204">
        <v>0.03</v>
      </c>
      <c r="D16" s="34" t="s">
        <v>127</v>
      </c>
      <c r="E16" s="35" t="s">
        <v>128</v>
      </c>
      <c r="F16" s="36" t="s">
        <v>125</v>
      </c>
      <c r="G16" s="36" t="s">
        <v>126</v>
      </c>
      <c r="H16" s="36" t="s">
        <v>102</v>
      </c>
      <c r="I16" s="37">
        <v>41110.333333333336</v>
      </c>
      <c r="J16" s="38">
        <v>62.97</v>
      </c>
      <c r="K16" s="38">
        <v>63.276</v>
      </c>
      <c r="L16" s="39">
        <f t="shared" si="0"/>
        <v>62.8</v>
      </c>
      <c r="M16" s="36" t="s">
        <v>126</v>
      </c>
      <c r="N16" s="37">
        <v>41116</v>
      </c>
      <c r="O16" s="38">
        <v>61.835</v>
      </c>
      <c r="P16" s="53" t="s">
        <v>119</v>
      </c>
      <c r="Q16" s="43" t="str">
        <f t="shared" si="1"/>
        <v>勝ち</v>
      </c>
      <c r="R16" s="44">
        <f t="shared" si="2"/>
        <v>30.60000000000045</v>
      </c>
      <c r="S16" s="45">
        <f t="shared" si="3"/>
        <v>838000</v>
      </c>
      <c r="T16" s="46">
        <f t="shared" si="4"/>
        <v>113.4999999999998</v>
      </c>
      <c r="U16" s="47">
        <f t="shared" si="5"/>
        <v>0</v>
      </c>
      <c r="V16" s="48">
        <f t="shared" si="6"/>
        <v>951129.9999999984</v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>
        <v>9504990</v>
      </c>
      <c r="C17" s="204">
        <v>0.03</v>
      </c>
      <c r="D17" s="34" t="s">
        <v>127</v>
      </c>
      <c r="E17" s="35" t="s">
        <v>128</v>
      </c>
      <c r="F17" s="36" t="s">
        <v>125</v>
      </c>
      <c r="G17" s="36" t="s">
        <v>126</v>
      </c>
      <c r="H17" s="36" t="s">
        <v>113</v>
      </c>
      <c r="I17" s="37">
        <v>41122.333333333336</v>
      </c>
      <c r="J17" s="38">
        <v>63.285</v>
      </c>
      <c r="K17" s="38">
        <v>63.02</v>
      </c>
      <c r="L17" s="39">
        <f t="shared" si="0"/>
        <v>63.455</v>
      </c>
      <c r="M17" s="36" t="s">
        <v>126</v>
      </c>
      <c r="N17" s="37">
        <v>41127.333333333336</v>
      </c>
      <c r="O17" s="38">
        <v>64.065</v>
      </c>
      <c r="P17" s="53" t="s">
        <v>120</v>
      </c>
      <c r="Q17" s="43" t="str">
        <f t="shared" si="1"/>
        <v>勝ち</v>
      </c>
      <c r="R17" s="44">
        <f t="shared" si="2"/>
        <v>26.499999999999346</v>
      </c>
      <c r="S17" s="45">
        <f t="shared" si="3"/>
        <v>1076000</v>
      </c>
      <c r="T17" s="46">
        <f t="shared" si="4"/>
        <v>78.00000000000011</v>
      </c>
      <c r="U17" s="47">
        <f t="shared" si="5"/>
        <v>0</v>
      </c>
      <c r="V17" s="48">
        <f t="shared" si="6"/>
        <v>839280.0000000013</v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>
        <v>10344270</v>
      </c>
      <c r="C18" s="204">
        <v>0.03</v>
      </c>
      <c r="D18" s="34" t="s">
        <v>127</v>
      </c>
      <c r="E18" s="35" t="s">
        <v>128</v>
      </c>
      <c r="F18" s="36" t="s">
        <v>125</v>
      </c>
      <c r="G18" s="36" t="s">
        <v>126</v>
      </c>
      <c r="H18" s="36" t="s">
        <v>102</v>
      </c>
      <c r="I18" s="37">
        <v>41128.833333333336</v>
      </c>
      <c r="J18" s="38">
        <v>64.218</v>
      </c>
      <c r="K18" s="38">
        <v>64.475</v>
      </c>
      <c r="L18" s="39">
        <f t="shared" si="0"/>
        <v>64.048</v>
      </c>
      <c r="M18" s="36" t="s">
        <v>126</v>
      </c>
      <c r="N18" s="37">
        <v>41135</v>
      </c>
      <c r="O18" s="38">
        <v>63.391</v>
      </c>
      <c r="P18" s="53" t="s">
        <v>119</v>
      </c>
      <c r="Q18" s="43" t="str">
        <f t="shared" si="1"/>
        <v>勝ち</v>
      </c>
      <c r="R18" s="44">
        <f t="shared" si="2"/>
        <v>25.69999999999908</v>
      </c>
      <c r="S18" s="45">
        <f t="shared" si="3"/>
        <v>1207000</v>
      </c>
      <c r="T18" s="46">
        <f t="shared" si="4"/>
        <v>82.70000000000053</v>
      </c>
      <c r="U18" s="47">
        <f t="shared" si="5"/>
        <v>0</v>
      </c>
      <c r="V18" s="48">
        <f t="shared" si="6"/>
        <v>998189.0000000064</v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>
        <v>11342459</v>
      </c>
      <c r="C19" s="204">
        <v>0.03</v>
      </c>
      <c r="D19" s="34" t="s">
        <v>127</v>
      </c>
      <c r="E19" s="35" t="s">
        <v>128</v>
      </c>
      <c r="F19" s="36" t="s">
        <v>125</v>
      </c>
      <c r="G19" s="36" t="s">
        <v>126</v>
      </c>
      <c r="H19" s="36" t="s">
        <v>113</v>
      </c>
      <c r="I19" s="37">
        <v>41136.333333333336</v>
      </c>
      <c r="J19" s="38">
        <v>63.446</v>
      </c>
      <c r="K19" s="38">
        <v>63.318</v>
      </c>
      <c r="L19" s="39">
        <f t="shared" si="0"/>
        <v>63.616</v>
      </c>
      <c r="M19" s="36" t="s">
        <v>126</v>
      </c>
      <c r="N19" s="37">
        <v>41141.333333333336</v>
      </c>
      <c r="O19" s="38">
        <v>64.212</v>
      </c>
      <c r="P19" s="53" t="s">
        <v>120</v>
      </c>
      <c r="Q19" s="43" t="str">
        <f t="shared" si="1"/>
        <v>勝ち</v>
      </c>
      <c r="R19" s="44">
        <f t="shared" si="2"/>
        <v>12.800000000000011</v>
      </c>
      <c r="S19" s="45">
        <f t="shared" si="3"/>
        <v>2658000</v>
      </c>
      <c r="T19" s="46">
        <f t="shared" si="4"/>
        <v>76.60000000000053</v>
      </c>
      <c r="U19" s="47">
        <f t="shared" si="5"/>
        <v>0</v>
      </c>
      <c r="V19" s="48">
        <f t="shared" si="6"/>
        <v>2036028.0000000142</v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>
        <v>13378487</v>
      </c>
      <c r="C20" s="204">
        <v>0.03</v>
      </c>
      <c r="D20" s="34" t="s">
        <v>127</v>
      </c>
      <c r="E20" s="35" t="s">
        <v>128</v>
      </c>
      <c r="F20" s="36" t="s">
        <v>125</v>
      </c>
      <c r="G20" s="36" t="s">
        <v>126</v>
      </c>
      <c r="H20" s="36" t="s">
        <v>102</v>
      </c>
      <c r="I20" s="37">
        <v>41142.666666666664</v>
      </c>
      <c r="J20" s="38">
        <v>64.55</v>
      </c>
      <c r="K20" s="38">
        <v>64.699</v>
      </c>
      <c r="L20" s="39">
        <f t="shared" si="0"/>
        <v>64.38</v>
      </c>
      <c r="M20" s="36" t="s">
        <v>126</v>
      </c>
      <c r="N20" s="37">
        <v>41156.166666666664</v>
      </c>
      <c r="O20" s="38">
        <v>62.544</v>
      </c>
      <c r="P20" s="53" t="s">
        <v>119</v>
      </c>
      <c r="Q20" s="43" t="str">
        <f t="shared" si="1"/>
        <v>勝ち</v>
      </c>
      <c r="R20" s="44">
        <f t="shared" si="2"/>
        <v>14.900000000000091</v>
      </c>
      <c r="S20" s="45">
        <f t="shared" si="3"/>
        <v>2693000</v>
      </c>
      <c r="T20" s="46">
        <f t="shared" si="4"/>
        <v>200.60000000000002</v>
      </c>
      <c r="U20" s="47">
        <f t="shared" si="5"/>
        <v>0</v>
      </c>
      <c r="V20" s="48">
        <f t="shared" si="6"/>
        <v>5402158.000000001</v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>
        <v>18780645</v>
      </c>
      <c r="C21" s="204">
        <v>0.03</v>
      </c>
      <c r="D21" s="34" t="s">
        <v>127</v>
      </c>
      <c r="E21" s="35" t="s">
        <v>128</v>
      </c>
      <c r="F21" s="36" t="s">
        <v>125</v>
      </c>
      <c r="G21" s="36" t="s">
        <v>126</v>
      </c>
      <c r="H21" s="36" t="s">
        <v>113</v>
      </c>
      <c r="I21" s="37">
        <v>41158</v>
      </c>
      <c r="J21" s="38">
        <v>62.378</v>
      </c>
      <c r="K21" s="38">
        <v>62.115</v>
      </c>
      <c r="L21" s="39">
        <f t="shared" si="0"/>
        <v>62.548</v>
      </c>
      <c r="M21" s="36" t="s">
        <v>126</v>
      </c>
      <c r="N21" s="37">
        <v>41171.166666666664</v>
      </c>
      <c r="O21" s="38">
        <v>64.896</v>
      </c>
      <c r="P21" s="53" t="s">
        <v>120</v>
      </c>
      <c r="Q21" s="43" t="str">
        <f t="shared" si="1"/>
        <v>勝ち</v>
      </c>
      <c r="R21" s="44">
        <f t="shared" si="2"/>
        <v>26.299999999999812</v>
      </c>
      <c r="S21" s="45">
        <f t="shared" si="3"/>
        <v>2142000</v>
      </c>
      <c r="T21" s="46">
        <f t="shared" si="4"/>
        <v>251.80000000000007</v>
      </c>
      <c r="U21" s="47">
        <f t="shared" si="5"/>
        <v>0</v>
      </c>
      <c r="V21" s="48">
        <f t="shared" si="6"/>
        <v>5393556.000000002</v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>
        <v>24174201</v>
      </c>
      <c r="C22" s="204">
        <v>0.03</v>
      </c>
      <c r="D22" s="34" t="s">
        <v>127</v>
      </c>
      <c r="E22" s="35" t="s">
        <v>128</v>
      </c>
      <c r="F22" s="36" t="s">
        <v>125</v>
      </c>
      <c r="G22" s="36" t="s">
        <v>126</v>
      </c>
      <c r="H22" s="36" t="s">
        <v>113</v>
      </c>
      <c r="I22" s="37">
        <v>41172.5</v>
      </c>
      <c r="J22" s="38">
        <v>64.49</v>
      </c>
      <c r="K22" s="38">
        <v>64.086</v>
      </c>
      <c r="L22" s="39">
        <f t="shared" si="0"/>
        <v>64.66</v>
      </c>
      <c r="M22" s="36" t="s">
        <v>126</v>
      </c>
      <c r="N22" s="37">
        <v>41173.666666666664</v>
      </c>
      <c r="O22" s="38">
        <v>64.999</v>
      </c>
      <c r="P22" s="53" t="s">
        <v>120</v>
      </c>
      <c r="Q22" s="43" t="str">
        <f t="shared" si="1"/>
        <v>勝ち</v>
      </c>
      <c r="R22" s="44">
        <f t="shared" si="2"/>
        <v>40.399999999999636</v>
      </c>
      <c r="S22" s="45">
        <f t="shared" si="3"/>
        <v>1795000</v>
      </c>
      <c r="T22" s="46">
        <f t="shared" si="4"/>
        <v>50.900000000000034</v>
      </c>
      <c r="U22" s="47">
        <f t="shared" si="5"/>
        <v>0</v>
      </c>
      <c r="V22" s="48">
        <f t="shared" si="6"/>
        <v>913655.0000000006</v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>
        <v>25087856</v>
      </c>
      <c r="C23" s="204">
        <v>0.03</v>
      </c>
      <c r="D23" s="34" t="s">
        <v>127</v>
      </c>
      <c r="E23" s="35" t="s">
        <v>128</v>
      </c>
      <c r="F23" s="36" t="s">
        <v>125</v>
      </c>
      <c r="G23" s="36" t="s">
        <v>126</v>
      </c>
      <c r="H23" s="36" t="s">
        <v>113</v>
      </c>
      <c r="I23" s="37">
        <v>41179</v>
      </c>
      <c r="J23" s="38">
        <v>64.101</v>
      </c>
      <c r="K23" s="38">
        <v>63.93</v>
      </c>
      <c r="L23" s="39">
        <f t="shared" si="0"/>
        <v>64.271</v>
      </c>
      <c r="M23" s="36" t="s">
        <v>126</v>
      </c>
      <c r="N23" s="37">
        <v>41180.5</v>
      </c>
      <c r="O23" s="38">
        <v>64.594</v>
      </c>
      <c r="P23" s="53" t="s">
        <v>120</v>
      </c>
      <c r="Q23" s="43" t="str">
        <f t="shared" si="1"/>
        <v>勝ち</v>
      </c>
      <c r="R23" s="44">
        <f t="shared" si="2"/>
        <v>17.099999999999937</v>
      </c>
      <c r="S23" s="45">
        <f t="shared" si="3"/>
        <v>4401000</v>
      </c>
      <c r="T23" s="46">
        <f t="shared" si="4"/>
        <v>49.2999999999995</v>
      </c>
      <c r="U23" s="47">
        <f t="shared" si="5"/>
        <v>0</v>
      </c>
      <c r="V23" s="48">
        <f t="shared" si="6"/>
        <v>2169692.999999978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>
        <v>27257549</v>
      </c>
      <c r="C24" s="204">
        <v>0.03</v>
      </c>
      <c r="D24" s="34" t="s">
        <v>127</v>
      </c>
      <c r="E24" s="35" t="s">
        <v>128</v>
      </c>
      <c r="F24" s="36" t="s">
        <v>125</v>
      </c>
      <c r="G24" s="36" t="s">
        <v>126</v>
      </c>
      <c r="H24" s="36" t="s">
        <v>102</v>
      </c>
      <c r="I24" s="37">
        <v>41184.666666666664</v>
      </c>
      <c r="J24" s="38">
        <v>64.801</v>
      </c>
      <c r="K24" s="38">
        <v>65.119</v>
      </c>
      <c r="L24" s="39">
        <f t="shared" si="0"/>
        <v>64.631</v>
      </c>
      <c r="M24" s="36" t="s">
        <v>126</v>
      </c>
      <c r="N24" s="37">
        <v>41193.333333333336</v>
      </c>
      <c r="O24" s="38">
        <v>63.893</v>
      </c>
      <c r="P24" s="53" t="s">
        <v>119</v>
      </c>
      <c r="Q24" s="43" t="str">
        <f t="shared" si="1"/>
        <v>勝ち</v>
      </c>
      <c r="R24" s="44">
        <f t="shared" si="2"/>
        <v>31.799999999999784</v>
      </c>
      <c r="S24" s="45">
        <f t="shared" si="3"/>
        <v>2571000</v>
      </c>
      <c r="T24" s="46">
        <f t="shared" si="4"/>
        <v>90.80000000000013</v>
      </c>
      <c r="U24" s="47">
        <f t="shared" si="5"/>
        <v>0</v>
      </c>
      <c r="V24" s="48">
        <f t="shared" si="6"/>
        <v>2334468.0000000033</v>
      </c>
    </row>
    <row r="25" spans="1:22" ht="13.5">
      <c r="A25" s="52">
        <v>21</v>
      </c>
      <c r="B25" s="226">
        <v>29592017</v>
      </c>
      <c r="C25" s="204">
        <v>0.03</v>
      </c>
      <c r="D25" s="34" t="s">
        <v>127</v>
      </c>
      <c r="E25" s="35" t="s">
        <v>128</v>
      </c>
      <c r="F25" s="36" t="s">
        <v>125</v>
      </c>
      <c r="G25" s="36" t="s">
        <v>126</v>
      </c>
      <c r="H25" s="36" t="s">
        <v>113</v>
      </c>
      <c r="I25" s="37">
        <v>41193.5</v>
      </c>
      <c r="J25" s="38">
        <v>63.9</v>
      </c>
      <c r="K25" s="38">
        <v>63.676</v>
      </c>
      <c r="L25" s="39">
        <f t="shared" si="0"/>
        <v>64.07</v>
      </c>
      <c r="M25" s="36" t="s">
        <v>126</v>
      </c>
      <c r="N25" s="37">
        <v>41201.666666666664</v>
      </c>
      <c r="O25" s="38">
        <v>64.8</v>
      </c>
      <c r="P25" s="53" t="s">
        <v>120</v>
      </c>
      <c r="Q25" s="43" t="str">
        <f t="shared" si="1"/>
        <v>勝ち</v>
      </c>
      <c r="R25" s="44">
        <f t="shared" si="2"/>
        <v>22.399999999999665</v>
      </c>
      <c r="S25" s="45">
        <f t="shared" si="3"/>
        <v>3963000</v>
      </c>
      <c r="T25" s="46">
        <f t="shared" si="4"/>
        <v>89.99999999999986</v>
      </c>
      <c r="U25" s="47">
        <f t="shared" si="5"/>
        <v>0</v>
      </c>
      <c r="V25" s="48">
        <f t="shared" si="6"/>
        <v>3566699.9999999944</v>
      </c>
    </row>
    <row r="26" spans="1:22" ht="13.5">
      <c r="A26" s="52">
        <v>22</v>
      </c>
      <c r="B26" s="226">
        <v>33158717</v>
      </c>
      <c r="C26" s="204">
        <v>0.03</v>
      </c>
      <c r="D26" s="34" t="s">
        <v>127</v>
      </c>
      <c r="E26" s="35" t="s">
        <v>128</v>
      </c>
      <c r="F26" s="36" t="s">
        <v>125</v>
      </c>
      <c r="G26" s="36" t="s">
        <v>126</v>
      </c>
      <c r="H26" s="36" t="s">
        <v>113</v>
      </c>
      <c r="I26" s="235">
        <v>41206.5</v>
      </c>
      <c r="J26" s="38">
        <v>64.922</v>
      </c>
      <c r="K26" s="38">
        <v>64.654</v>
      </c>
      <c r="L26" s="39">
        <f t="shared" si="0"/>
        <v>65.092</v>
      </c>
      <c r="M26" s="36" t="s">
        <v>126</v>
      </c>
      <c r="N26" s="37">
        <v>41207.666666666664</v>
      </c>
      <c r="O26" s="38">
        <v>65.865</v>
      </c>
      <c r="P26" s="53" t="s">
        <v>120</v>
      </c>
      <c r="Q26" s="43" t="str">
        <f t="shared" si="1"/>
        <v>勝ち</v>
      </c>
      <c r="R26" s="44">
        <f t="shared" si="2"/>
        <v>26.800000000000068</v>
      </c>
      <c r="S26" s="45">
        <f t="shared" si="3"/>
        <v>3711000</v>
      </c>
      <c r="T26" s="46">
        <f t="shared" si="4"/>
        <v>94.29999999999978</v>
      </c>
      <c r="U26" s="47">
        <f t="shared" si="5"/>
        <v>0</v>
      </c>
      <c r="V26" s="48">
        <f t="shared" si="6"/>
        <v>3499472.999999992</v>
      </c>
    </row>
    <row r="27" spans="1:22" ht="13.5">
      <c r="A27" s="52">
        <v>23</v>
      </c>
      <c r="B27" s="226">
        <v>36658190</v>
      </c>
      <c r="C27" s="204">
        <v>0.03</v>
      </c>
      <c r="D27" s="34" t="s">
        <v>127</v>
      </c>
      <c r="E27" s="35" t="s">
        <v>128</v>
      </c>
      <c r="F27" s="36" t="s">
        <v>125</v>
      </c>
      <c r="G27" s="36" t="s">
        <v>126</v>
      </c>
      <c r="H27" s="36" t="s">
        <v>113</v>
      </c>
      <c r="I27" s="37">
        <v>41212</v>
      </c>
      <c r="J27" s="38">
        <v>65.409</v>
      </c>
      <c r="K27" s="38">
        <v>65.145</v>
      </c>
      <c r="L27" s="39">
        <f t="shared" si="0"/>
        <v>65.57900000000001</v>
      </c>
      <c r="M27" s="36" t="s">
        <v>126</v>
      </c>
      <c r="N27" s="37">
        <v>41220</v>
      </c>
      <c r="O27" s="38">
        <v>66.307</v>
      </c>
      <c r="P27" s="53" t="s">
        <v>120</v>
      </c>
      <c r="Q27" s="43" t="str">
        <f t="shared" si="1"/>
        <v>勝ち</v>
      </c>
      <c r="R27" s="44">
        <f t="shared" si="2"/>
        <v>26.400000000001</v>
      </c>
      <c r="S27" s="45">
        <f t="shared" si="3"/>
        <v>4165000</v>
      </c>
      <c r="T27" s="46">
        <f t="shared" si="4"/>
        <v>89.79999999999961</v>
      </c>
      <c r="U27" s="47">
        <f t="shared" si="5"/>
        <v>0</v>
      </c>
      <c r="V27" s="48">
        <f t="shared" si="6"/>
        <v>3740169.9999999837</v>
      </c>
    </row>
    <row r="28" spans="1:22" ht="13.5">
      <c r="A28" s="52">
        <v>24</v>
      </c>
      <c r="B28" s="226">
        <v>40398360</v>
      </c>
      <c r="C28" s="204">
        <v>0.03</v>
      </c>
      <c r="D28" s="34" t="s">
        <v>127</v>
      </c>
      <c r="E28" s="35" t="s">
        <v>128</v>
      </c>
      <c r="F28" s="36" t="s">
        <v>125</v>
      </c>
      <c r="G28" s="36" t="s">
        <v>126</v>
      </c>
      <c r="H28" s="36" t="s">
        <v>113</v>
      </c>
      <c r="I28" s="37">
        <v>41225</v>
      </c>
      <c r="J28" s="38">
        <v>64.816</v>
      </c>
      <c r="K28" s="38">
        <v>64.581</v>
      </c>
      <c r="L28" s="39">
        <f t="shared" si="0"/>
        <v>64.986</v>
      </c>
      <c r="M28" s="36" t="s">
        <v>126</v>
      </c>
      <c r="N28" s="37">
        <v>41240.833333333336</v>
      </c>
      <c r="O28" s="38">
        <v>67.373</v>
      </c>
      <c r="P28" s="53" t="s">
        <v>120</v>
      </c>
      <c r="Q28" s="43" t="str">
        <f t="shared" si="1"/>
        <v>勝ち</v>
      </c>
      <c r="R28" s="44">
        <f t="shared" si="2"/>
        <v>23.499999999999943</v>
      </c>
      <c r="S28" s="45">
        <f t="shared" si="3"/>
        <v>5157000</v>
      </c>
      <c r="T28" s="46">
        <f t="shared" si="4"/>
        <v>255.70000000000022</v>
      </c>
      <c r="U28" s="47">
        <f t="shared" si="5"/>
        <v>0</v>
      </c>
      <c r="V28" s="48">
        <f t="shared" si="6"/>
        <v>13186449.000000011</v>
      </c>
    </row>
    <row r="29" spans="1:22" ht="13.5">
      <c r="A29" s="52">
        <v>25</v>
      </c>
      <c r="B29" s="226">
        <v>53584809</v>
      </c>
      <c r="C29" s="204">
        <v>0.03</v>
      </c>
      <c r="D29" s="34" t="s">
        <v>127</v>
      </c>
      <c r="E29" s="35" t="s">
        <v>128</v>
      </c>
      <c r="F29" s="36" t="s">
        <v>125</v>
      </c>
      <c r="G29" s="36" t="s">
        <v>126</v>
      </c>
      <c r="H29" s="36" t="s">
        <v>113</v>
      </c>
      <c r="I29" s="37">
        <v>41248</v>
      </c>
      <c r="J29" s="38">
        <v>67.51</v>
      </c>
      <c r="K29" s="38">
        <v>67.334</v>
      </c>
      <c r="L29" s="39">
        <f t="shared" si="0"/>
        <v>67.68</v>
      </c>
      <c r="M29" s="36" t="s">
        <v>126</v>
      </c>
      <c r="N29" s="37">
        <v>41261.5</v>
      </c>
      <c r="O29" s="38">
        <v>70.61</v>
      </c>
      <c r="P29" s="53" t="s">
        <v>120</v>
      </c>
      <c r="Q29" s="43" t="str">
        <f t="shared" si="1"/>
        <v>勝ち</v>
      </c>
      <c r="R29" s="44">
        <f t="shared" si="2"/>
        <v>17.600000000000193</v>
      </c>
      <c r="S29" s="45">
        <f t="shared" si="3"/>
        <v>9133000</v>
      </c>
      <c r="T29" s="46">
        <f t="shared" si="4"/>
        <v>309.99999999999943</v>
      </c>
      <c r="U29" s="47">
        <f t="shared" si="5"/>
        <v>0</v>
      </c>
      <c r="V29" s="48">
        <f t="shared" si="6"/>
        <v>28312299.999999948</v>
      </c>
    </row>
    <row r="30" spans="1:22" ht="13.5">
      <c r="A30" s="52">
        <v>26</v>
      </c>
      <c r="B30" s="226">
        <v>81897109</v>
      </c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7">
        <f>SUM(T5:T124)+SUM(U5:U124)</f>
        <v>4072.199999999999</v>
      </c>
      <c r="U125" s="267"/>
      <c r="V125" s="77">
        <f>SUM(V5:V124)</f>
        <v>80897118.99999994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8" t="s">
        <v>34</v>
      </c>
      <c r="G128" s="269"/>
      <c r="H128" s="270"/>
      <c r="J128" s="271" t="s">
        <v>82</v>
      </c>
      <c r="K128" s="272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3"/>
      <c r="H129" s="274"/>
      <c r="J129" s="218" t="s">
        <v>109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61">
        <f>COUNTIF(H5:H124,"買い")</f>
        <v>17</v>
      </c>
      <c r="H130" s="262"/>
      <c r="J130" s="218" t="s">
        <v>110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61">
        <f>COUNTIF(H5:H124,"売り")</f>
        <v>8</v>
      </c>
      <c r="H131" s="262"/>
      <c r="J131" s="218" t="s">
        <v>111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61">
        <f>G130+G131</f>
        <v>25</v>
      </c>
      <c r="H132" s="262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61">
        <f>COUNTIF(Q5:Q124,"勝ち")</f>
        <v>25</v>
      </c>
      <c r="H133" s="262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3">
        <f>COUNTIF(Q5:Q124,"負け")</f>
        <v>0</v>
      </c>
      <c r="H134" s="264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3">
        <f>COUNTIF(Q5:Q124,"ドロー")</f>
        <v>0</v>
      </c>
      <c r="H135" s="264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3">
        <f>COUNTIF(Q5:Q124,"保留中")</f>
        <v>0</v>
      </c>
      <c r="H136" s="264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4">
        <f>SUMIF(Q5:Q124,"勝ち",V5:V124)</f>
        <v>80897118.99999994</v>
      </c>
      <c r="H137" s="255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6">
        <f>SUMIF(Q5:Q124,"負け",V5:V124)</f>
        <v>0</v>
      </c>
      <c r="H138" s="257"/>
      <c r="J138" s="258" t="s">
        <v>51</v>
      </c>
      <c r="K138" s="258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4">
        <f>G137+G138</f>
        <v>80897118.99999994</v>
      </c>
      <c r="H139" s="255"/>
      <c r="J139" s="218" t="s">
        <v>103</v>
      </c>
      <c r="K139" s="82">
        <f aca="true" t="shared" si="17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18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9">
        <f>G137/COUNTA(H5:H124)</f>
        <v>3235884.7599999974</v>
      </c>
      <c r="H140" s="260"/>
      <c r="J140" s="218" t="s">
        <v>108</v>
      </c>
      <c r="K140" s="82">
        <f t="shared" si="17"/>
        <v>25</v>
      </c>
      <c r="L140" s="82">
        <f>_xlfn.COUNTIFS($H$5:$H$124,"買い",$F$5:$F$124,J140)</f>
        <v>17</v>
      </c>
      <c r="M140" s="83">
        <f>_xlfn.COUNTIFS($F$5:$F$124,J140,$H$5:$H$124,"売り")</f>
        <v>8</v>
      </c>
      <c r="N140" s="84">
        <f t="shared" si="18"/>
        <v>4072.199999999999</v>
      </c>
      <c r="O140" s="160">
        <f>_xlfn.COUNTIFS($Q$5:$Q$124,"勝ち",$F$5:$F$124,J140)/(COUNTIF($F$5:$F$124,J140)-_xlfn.COUNTIFS($F$5:$F$124,J140,$Q$5:$Q$124,"ドロー"))*100</f>
        <v>100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9">
        <f>G139/COUNTA(H5:H124)</f>
        <v>3235884.7599999974</v>
      </c>
      <c r="H141" s="260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8"/>
      <c r="H142" s="249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8"/>
      <c r="H143" s="249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50">
        <f>MAX(T5:T124)</f>
        <v>382.8000000000003</v>
      </c>
      <c r="H144" s="251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52">
        <f>G133/(G132-G135)</f>
        <v>1</v>
      </c>
      <c r="H145" s="253"/>
      <c r="J145" s="85" t="s">
        <v>33</v>
      </c>
      <c r="K145" s="86">
        <f>SUM(K139:K144)</f>
        <v>25</v>
      </c>
      <c r="L145" s="86">
        <f>SUM(L139:L144)</f>
        <v>17</v>
      </c>
      <c r="M145" s="86">
        <f>SUM(M139:M144)</f>
        <v>8</v>
      </c>
      <c r="N145" s="80">
        <f>SUM(N139:N144)</f>
        <v>4072.199999999999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38" sqref="N38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5" t="s">
        <v>60</v>
      </c>
      <c r="B2" s="275"/>
      <c r="C2" s="276">
        <v>1000000</v>
      </c>
      <c r="D2" s="276"/>
      <c r="E2" s="276"/>
      <c r="F2" s="276"/>
      <c r="G2" s="275" t="s">
        <v>61</v>
      </c>
      <c r="H2" s="275"/>
      <c r="I2" s="19">
        <v>1000000</v>
      </c>
      <c r="J2" s="20" t="s">
        <v>62</v>
      </c>
      <c r="K2" s="214">
        <v>0.03</v>
      </c>
      <c r="N2" s="216"/>
      <c r="O2" s="215" t="s">
        <v>107</v>
      </c>
      <c r="U2" s="18"/>
      <c r="V2" s="18"/>
      <c r="W2" s="18"/>
      <c r="AU2" s="21">
        <f>I2-I2*K2</f>
        <v>970000</v>
      </c>
    </row>
    <row r="3" spans="1:23" ht="21" customHeight="1">
      <c r="A3" s="275" t="s">
        <v>63</v>
      </c>
      <c r="B3" s="275"/>
      <c r="C3" s="277">
        <v>17</v>
      </c>
      <c r="D3" s="277"/>
      <c r="E3" s="277"/>
      <c r="F3" s="277"/>
      <c r="G3" s="278">
        <f>IF(C2&lt;AU2,"警告！！資金不足！！","")</f>
      </c>
      <c r="H3" s="278"/>
      <c r="I3" s="278"/>
      <c r="J3" s="278"/>
      <c r="K3" s="278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265" t="s">
        <v>21</v>
      </c>
      <c r="E5" s="266"/>
      <c r="F5" s="36" t="s">
        <v>115</v>
      </c>
      <c r="G5" s="36" t="s">
        <v>116</v>
      </c>
      <c r="H5" s="36" t="s">
        <v>113</v>
      </c>
      <c r="I5" s="37">
        <v>37256.5</v>
      </c>
      <c r="J5" s="38">
        <v>116.37</v>
      </c>
      <c r="K5" s="38">
        <v>115.86</v>
      </c>
      <c r="L5" s="39"/>
      <c r="M5" s="36" t="s">
        <v>116</v>
      </c>
      <c r="N5" s="40">
        <v>37259.5</v>
      </c>
      <c r="O5" s="231">
        <v>118.46</v>
      </c>
      <c r="P5" s="42" t="s">
        <v>117</v>
      </c>
      <c r="Q5" s="43" t="str">
        <f aca="true" t="shared" si="0" ref="Q5:Q68">IF(J5="","",IF(O5="","保留中",IF(H5="買い",IF(J5&lt;O5,"勝ち",IF(J5&gt;O5,"負け","ドロー")),IF(J5&gt;O5,"勝ち",IF(J5&lt;O5,"負け","ドロー")))))</f>
        <v>勝ち</v>
      </c>
      <c r="R5" s="44">
        <v>51</v>
      </c>
      <c r="S5" s="45"/>
      <c r="T5" s="46">
        <v>209</v>
      </c>
      <c r="U5" s="47">
        <f>IF(Q5="負け",IF(H5="買い",(O5-J5)/VLOOKUP(E6,$X$5:$AA$23,3,FALSE),(J5-O5)/VLOOKUP(E6,$X$5:$AA$23,3,FALSE)),0)</f>
        <v>0</v>
      </c>
      <c r="V5" s="48">
        <v>122892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1122892</v>
      </c>
      <c r="C6" s="204">
        <v>0.03</v>
      </c>
      <c r="D6" s="34" t="s">
        <v>114</v>
      </c>
      <c r="E6" s="35"/>
      <c r="F6" s="36" t="s">
        <v>115</v>
      </c>
      <c r="G6" s="36" t="s">
        <v>116</v>
      </c>
      <c r="H6" s="36" t="s">
        <v>113</v>
      </c>
      <c r="I6" s="37">
        <v>37264</v>
      </c>
      <c r="J6" s="38">
        <v>117.3</v>
      </c>
      <c r="K6" s="38">
        <v>116.92</v>
      </c>
      <c r="L6" s="39"/>
      <c r="M6" s="36" t="s">
        <v>116</v>
      </c>
      <c r="N6" s="37">
        <v>37265.333333333336</v>
      </c>
      <c r="O6" s="38">
        <v>118.08</v>
      </c>
      <c r="P6" s="53" t="s">
        <v>117</v>
      </c>
      <c r="Q6" s="43" t="str">
        <f t="shared" si="0"/>
        <v>勝ち</v>
      </c>
      <c r="R6" s="44">
        <v>38</v>
      </c>
      <c r="S6" s="45"/>
      <c r="T6" s="46">
        <v>78</v>
      </c>
      <c r="U6" s="47">
        <f>IF(Q6="負け",IF(H6="買い",(O6-J6)/VLOOKUP(#REF!,$X$5:$AA$23,3,FALSE),(J6-O6)/VLOOKUP(#REF!,$X$5:$AA$23,3,FALSE)),0)</f>
        <v>0</v>
      </c>
      <c r="V6" s="48">
        <v>29982</v>
      </c>
      <c r="X6" s="54" t="s">
        <v>76</v>
      </c>
      <c r="Y6" s="55">
        <v>123.46</v>
      </c>
      <c r="Z6" s="55">
        <v>0.0001</v>
      </c>
      <c r="AA6" s="56">
        <f aca="true" t="shared" si="1" ref="AA6:AA23">Y6*Z6</f>
        <v>0.012346</v>
      </c>
    </row>
    <row r="7" spans="1:27" ht="13.5">
      <c r="A7" s="52">
        <v>3</v>
      </c>
      <c r="B7" s="209">
        <f aca="true" t="shared" si="2" ref="B7:B70">IF(V6="","",B6+V6)</f>
        <v>1152874</v>
      </c>
      <c r="C7" s="204">
        <v>0.03</v>
      </c>
      <c r="D7" s="34" t="s">
        <v>114</v>
      </c>
      <c r="E7" s="35"/>
      <c r="F7" s="36" t="s">
        <v>108</v>
      </c>
      <c r="G7" s="36" t="s">
        <v>116</v>
      </c>
      <c r="H7" s="36" t="s">
        <v>102</v>
      </c>
      <c r="I7" s="37">
        <v>37271</v>
      </c>
      <c r="J7" s="38">
        <v>117.78</v>
      </c>
      <c r="K7" s="38">
        <v>118.25</v>
      </c>
      <c r="L7" s="39"/>
      <c r="M7" s="36" t="s">
        <v>116</v>
      </c>
      <c r="N7" s="37">
        <v>37272.166666666664</v>
      </c>
      <c r="O7" s="38">
        <v>116.27</v>
      </c>
      <c r="P7" s="53" t="s">
        <v>119</v>
      </c>
      <c r="Q7" s="43" t="str">
        <f t="shared" si="0"/>
        <v>勝ち</v>
      </c>
      <c r="R7" s="44">
        <v>47</v>
      </c>
      <c r="S7" s="45"/>
      <c r="T7" s="46">
        <v>198</v>
      </c>
      <c r="U7" s="47">
        <f aca="true" t="shared" si="3" ref="U7:U68">IF(Q7="負け",IF(H7="買い",(O7-J7)/VLOOKUP(E7,$X$5:$AA$23,3,FALSE),(J7-O7)/VLOOKUP(E7,$X$5:$AA$23,3,FALSE)),0)</f>
        <v>0</v>
      </c>
      <c r="V7" s="48">
        <v>29610</v>
      </c>
      <c r="X7" s="54" t="s">
        <v>77</v>
      </c>
      <c r="Y7" s="55">
        <v>135.5</v>
      </c>
      <c r="Z7" s="55">
        <v>0.0001</v>
      </c>
      <c r="AA7" s="56">
        <f t="shared" si="1"/>
        <v>0.013550000000000001</v>
      </c>
    </row>
    <row r="8" spans="1:27" ht="13.5">
      <c r="A8" s="52">
        <v>4</v>
      </c>
      <c r="B8" s="209">
        <f t="shared" si="2"/>
        <v>1182484</v>
      </c>
      <c r="C8" s="204">
        <v>0.03</v>
      </c>
      <c r="D8" s="34" t="s">
        <v>114</v>
      </c>
      <c r="E8" s="35"/>
      <c r="F8" s="36" t="s">
        <v>108</v>
      </c>
      <c r="G8" s="36" t="s">
        <v>116</v>
      </c>
      <c r="H8" s="36" t="s">
        <v>113</v>
      </c>
      <c r="I8" s="37">
        <v>37274.666666666664</v>
      </c>
      <c r="J8" s="38">
        <v>117.27</v>
      </c>
      <c r="K8" s="38">
        <v>116.65</v>
      </c>
      <c r="L8" s="39"/>
      <c r="M8" s="36" t="s">
        <v>116</v>
      </c>
      <c r="N8" s="37">
        <v>37279.666666666664</v>
      </c>
      <c r="O8" s="38">
        <v>118.24</v>
      </c>
      <c r="P8" s="53" t="s">
        <v>120</v>
      </c>
      <c r="Q8" s="43" t="s">
        <v>118</v>
      </c>
      <c r="R8" s="44">
        <v>62</v>
      </c>
      <c r="S8" s="45"/>
      <c r="T8" s="46">
        <v>97</v>
      </c>
      <c r="U8" s="47">
        <f t="shared" si="3"/>
        <v>0</v>
      </c>
      <c r="V8" s="48">
        <v>46948</v>
      </c>
      <c r="X8" s="54" t="s">
        <v>78</v>
      </c>
      <c r="Y8" s="55">
        <v>190.35</v>
      </c>
      <c r="Z8" s="55">
        <v>0.0001</v>
      </c>
      <c r="AA8" s="56">
        <f t="shared" si="1"/>
        <v>0.019035</v>
      </c>
    </row>
    <row r="9" spans="1:27" ht="13.5">
      <c r="A9" s="52">
        <v>5</v>
      </c>
      <c r="B9" s="209">
        <f t="shared" si="2"/>
        <v>1229432</v>
      </c>
      <c r="C9" s="204">
        <v>0.03</v>
      </c>
      <c r="D9" s="34" t="s">
        <v>114</v>
      </c>
      <c r="E9" s="35"/>
      <c r="F9" s="36" t="s">
        <v>115</v>
      </c>
      <c r="G9" s="36" t="s">
        <v>116</v>
      </c>
      <c r="H9" s="36" t="s">
        <v>102</v>
      </c>
      <c r="I9" s="37">
        <v>37279.5</v>
      </c>
      <c r="J9" s="38">
        <v>118.61</v>
      </c>
      <c r="K9" s="38">
        <v>119.22</v>
      </c>
      <c r="L9" s="39"/>
      <c r="M9" s="36" t="s">
        <v>116</v>
      </c>
      <c r="N9" s="37">
        <v>37287.5</v>
      </c>
      <c r="O9" s="38">
        <v>115</v>
      </c>
      <c r="P9" s="53" t="s">
        <v>119</v>
      </c>
      <c r="Q9" s="43" t="str">
        <f t="shared" si="0"/>
        <v>勝ち</v>
      </c>
      <c r="R9" s="44">
        <v>61</v>
      </c>
      <c r="S9" s="45"/>
      <c r="T9" s="46">
        <v>361</v>
      </c>
      <c r="U9" s="47">
        <f t="shared" si="3"/>
        <v>0</v>
      </c>
      <c r="V9" s="48">
        <v>117612</v>
      </c>
      <c r="X9" s="54" t="s">
        <v>79</v>
      </c>
      <c r="Y9" s="55">
        <v>128.69</v>
      </c>
      <c r="Z9" s="55">
        <v>0.0001</v>
      </c>
      <c r="AA9" s="56">
        <f t="shared" si="1"/>
        <v>0.012869</v>
      </c>
    </row>
    <row r="10" spans="1:27" ht="13.5">
      <c r="A10" s="52">
        <v>6</v>
      </c>
      <c r="B10" s="209">
        <f t="shared" si="2"/>
        <v>1347044</v>
      </c>
      <c r="C10" s="204">
        <v>0.03</v>
      </c>
      <c r="D10" s="34" t="s">
        <v>114</v>
      </c>
      <c r="E10" s="35"/>
      <c r="F10" s="36" t="s">
        <v>115</v>
      </c>
      <c r="G10" s="36" t="s">
        <v>116</v>
      </c>
      <c r="H10" s="36" t="s">
        <v>113</v>
      </c>
      <c r="I10" s="37">
        <v>37292.166666666664</v>
      </c>
      <c r="J10" s="38">
        <v>115.12</v>
      </c>
      <c r="K10" s="38">
        <v>114.66</v>
      </c>
      <c r="L10" s="39"/>
      <c r="M10" s="36" t="s">
        <v>116</v>
      </c>
      <c r="N10" s="37">
        <v>37298.833333333336</v>
      </c>
      <c r="O10" s="38">
        <v>116.91</v>
      </c>
      <c r="P10" s="53" t="s">
        <v>120</v>
      </c>
      <c r="Q10" s="43" t="s">
        <v>118</v>
      </c>
      <c r="R10" s="44">
        <v>46</v>
      </c>
      <c r="S10" s="45"/>
      <c r="T10" s="46">
        <v>179</v>
      </c>
      <c r="U10" s="47">
        <f t="shared" si="3"/>
        <v>0</v>
      </c>
      <c r="V10" s="48">
        <v>157341</v>
      </c>
      <c r="X10" s="54" t="s">
        <v>75</v>
      </c>
      <c r="Y10" s="55">
        <v>80.81</v>
      </c>
      <c r="Z10" s="55">
        <v>0.0001</v>
      </c>
      <c r="AA10" s="56">
        <f t="shared" si="1"/>
        <v>0.008081000000000001</v>
      </c>
    </row>
    <row r="11" spans="1:27" ht="13.5">
      <c r="A11" s="52">
        <v>7</v>
      </c>
      <c r="B11" s="209">
        <f t="shared" si="2"/>
        <v>1504385</v>
      </c>
      <c r="C11" s="204">
        <v>0.03</v>
      </c>
      <c r="D11" s="34" t="s">
        <v>114</v>
      </c>
      <c r="E11" s="35"/>
      <c r="F11" s="36" t="s">
        <v>115</v>
      </c>
      <c r="G11" s="36" t="s">
        <v>116</v>
      </c>
      <c r="H11" s="36" t="s">
        <v>102</v>
      </c>
      <c r="I11" s="37">
        <v>37299.5</v>
      </c>
      <c r="J11" s="38">
        <v>116.83</v>
      </c>
      <c r="K11" s="38">
        <v>117.69</v>
      </c>
      <c r="L11" s="39"/>
      <c r="M11" s="36" t="s">
        <v>116</v>
      </c>
      <c r="N11" s="37">
        <v>37302</v>
      </c>
      <c r="O11" s="38">
        <v>115.91</v>
      </c>
      <c r="P11" s="53" t="s">
        <v>119</v>
      </c>
      <c r="Q11" s="43" t="str">
        <f t="shared" si="0"/>
        <v>勝ち</v>
      </c>
      <c r="R11" s="44">
        <v>86</v>
      </c>
      <c r="S11" s="45"/>
      <c r="T11" s="46">
        <v>92</v>
      </c>
      <c r="U11" s="47">
        <f t="shared" si="3"/>
        <v>0</v>
      </c>
      <c r="V11" s="48">
        <v>48300</v>
      </c>
      <c r="X11" s="54" t="s">
        <v>80</v>
      </c>
      <c r="Y11" s="55">
        <v>93.53</v>
      </c>
      <c r="Z11" s="55">
        <v>0.0001</v>
      </c>
      <c r="AA11" s="56">
        <f t="shared" si="1"/>
        <v>0.009353</v>
      </c>
    </row>
    <row r="12" spans="1:27" ht="13.5">
      <c r="A12" s="52">
        <v>8</v>
      </c>
      <c r="B12" s="209">
        <f t="shared" si="2"/>
        <v>1552685</v>
      </c>
      <c r="C12" s="204">
        <v>0.03</v>
      </c>
      <c r="D12" s="34" t="s">
        <v>114</v>
      </c>
      <c r="E12" s="35"/>
      <c r="F12" s="36" t="s">
        <v>115</v>
      </c>
      <c r="G12" s="36" t="s">
        <v>116</v>
      </c>
      <c r="H12" s="36" t="s">
        <v>113</v>
      </c>
      <c r="I12" s="37">
        <v>37306.5</v>
      </c>
      <c r="J12" s="38">
        <v>116.37</v>
      </c>
      <c r="K12" s="38">
        <v>115.8</v>
      </c>
      <c r="L12" s="39"/>
      <c r="M12" s="36" t="s">
        <v>116</v>
      </c>
      <c r="N12" s="37">
        <v>37312.5</v>
      </c>
      <c r="O12" s="38">
        <v>116.83</v>
      </c>
      <c r="P12" s="53" t="s">
        <v>120</v>
      </c>
      <c r="Q12" s="43" t="s">
        <v>121</v>
      </c>
      <c r="R12" s="44">
        <v>57</v>
      </c>
      <c r="S12" s="45"/>
      <c r="T12" s="232" t="s">
        <v>122</v>
      </c>
      <c r="U12" s="47">
        <f t="shared" si="3"/>
        <v>0</v>
      </c>
      <c r="V12" s="48">
        <v>37582</v>
      </c>
      <c r="X12" s="54" t="s">
        <v>81</v>
      </c>
      <c r="Y12" s="55">
        <v>89.93</v>
      </c>
      <c r="Z12" s="55">
        <v>0.0001</v>
      </c>
      <c r="AA12" s="56">
        <f t="shared" si="1"/>
        <v>0.008993000000000001</v>
      </c>
    </row>
    <row r="13" spans="1:27" ht="13.5">
      <c r="A13" s="52">
        <v>9</v>
      </c>
      <c r="B13" s="209">
        <f t="shared" si="2"/>
        <v>1590267</v>
      </c>
      <c r="C13" s="204">
        <v>0.03</v>
      </c>
      <c r="D13" s="34" t="s">
        <v>114</v>
      </c>
      <c r="E13" s="35"/>
      <c r="F13" s="36" t="s">
        <v>115</v>
      </c>
      <c r="G13" s="36" t="s">
        <v>116</v>
      </c>
      <c r="H13" s="36" t="s">
        <v>102</v>
      </c>
      <c r="I13" s="37">
        <v>37313.5</v>
      </c>
      <c r="J13" s="38">
        <v>116.19</v>
      </c>
      <c r="K13" s="38">
        <v>117.27</v>
      </c>
      <c r="L13" s="39"/>
      <c r="M13" s="36" t="s">
        <v>116</v>
      </c>
      <c r="N13" s="37">
        <v>37326</v>
      </c>
      <c r="O13" s="38">
        <v>112.78</v>
      </c>
      <c r="P13" s="53" t="s">
        <v>119</v>
      </c>
      <c r="Q13" s="43" t="s">
        <v>121</v>
      </c>
      <c r="R13" s="44">
        <v>108</v>
      </c>
      <c r="S13" s="45"/>
      <c r="T13" s="46">
        <v>341</v>
      </c>
      <c r="U13" s="47">
        <f t="shared" si="3"/>
        <v>0</v>
      </c>
      <c r="V13" s="48">
        <v>150772</v>
      </c>
      <c r="X13" s="54"/>
      <c r="Y13" s="55"/>
      <c r="Z13" s="55"/>
      <c r="AA13" s="56">
        <f t="shared" si="1"/>
        <v>0</v>
      </c>
    </row>
    <row r="14" spans="1:27" ht="13.5">
      <c r="A14" s="52">
        <v>10</v>
      </c>
      <c r="B14" s="209">
        <f t="shared" si="2"/>
        <v>1741039</v>
      </c>
      <c r="C14" s="204">
        <v>0.03</v>
      </c>
      <c r="D14" s="34" t="s">
        <v>114</v>
      </c>
      <c r="E14" s="35"/>
      <c r="F14" s="36" t="s">
        <v>115</v>
      </c>
      <c r="G14" s="36" t="s">
        <v>116</v>
      </c>
      <c r="H14" s="36" t="s">
        <v>113</v>
      </c>
      <c r="I14" s="37">
        <v>37328.666666666664</v>
      </c>
      <c r="J14" s="38">
        <v>113.56</v>
      </c>
      <c r="K14" s="38">
        <v>112.7</v>
      </c>
      <c r="L14" s="39"/>
      <c r="M14" s="36" t="s">
        <v>116</v>
      </c>
      <c r="N14" s="37">
        <v>37349.166666666664</v>
      </c>
      <c r="O14" s="38">
        <v>116.81</v>
      </c>
      <c r="P14" s="53" t="s">
        <v>120</v>
      </c>
      <c r="Q14" s="43" t="s">
        <v>121</v>
      </c>
      <c r="R14" s="44">
        <v>86</v>
      </c>
      <c r="S14" s="45"/>
      <c r="T14" s="46">
        <v>325</v>
      </c>
      <c r="U14" s="47">
        <f t="shared" si="3"/>
        <v>0</v>
      </c>
      <c r="V14" s="48">
        <v>197275</v>
      </c>
      <c r="X14" s="54"/>
      <c r="Y14" s="55"/>
      <c r="Z14" s="55"/>
      <c r="AA14" s="56">
        <f t="shared" si="1"/>
        <v>0</v>
      </c>
    </row>
    <row r="15" spans="1:27" ht="13.5">
      <c r="A15" s="52">
        <v>11</v>
      </c>
      <c r="B15" s="209">
        <f t="shared" si="2"/>
        <v>1938314</v>
      </c>
      <c r="C15" s="204">
        <v>0.03</v>
      </c>
      <c r="D15" s="34" t="s">
        <v>114</v>
      </c>
      <c r="E15" s="35"/>
      <c r="F15" s="36" t="s">
        <v>115</v>
      </c>
      <c r="G15" s="36" t="s">
        <v>116</v>
      </c>
      <c r="H15" s="36" t="s">
        <v>102</v>
      </c>
      <c r="I15" s="233" t="s">
        <v>123</v>
      </c>
      <c r="J15" s="38">
        <v>1116.49</v>
      </c>
      <c r="K15" s="38">
        <v>117.28</v>
      </c>
      <c r="L15" s="39"/>
      <c r="M15" s="36" t="s">
        <v>116</v>
      </c>
      <c r="N15" s="37">
        <v>37356.333333333336</v>
      </c>
      <c r="O15" s="38">
        <v>115.33</v>
      </c>
      <c r="P15" s="53" t="s">
        <v>119</v>
      </c>
      <c r="Q15" s="43" t="str">
        <f t="shared" si="0"/>
        <v>勝ち</v>
      </c>
      <c r="R15" s="44">
        <v>79</v>
      </c>
      <c r="S15" s="45"/>
      <c r="T15" s="46">
        <v>116</v>
      </c>
      <c r="U15" s="47">
        <f t="shared" si="3"/>
        <v>0</v>
      </c>
      <c r="V15" s="48">
        <v>85376</v>
      </c>
      <c r="X15" s="54"/>
      <c r="Y15" s="55"/>
      <c r="Z15" s="55"/>
      <c r="AA15" s="56">
        <f t="shared" si="1"/>
        <v>0</v>
      </c>
    </row>
    <row r="16" spans="1:27" ht="13.5">
      <c r="A16" s="52">
        <v>12</v>
      </c>
      <c r="B16" s="209">
        <f t="shared" si="2"/>
        <v>2023690</v>
      </c>
      <c r="C16" s="204">
        <v>0.03</v>
      </c>
      <c r="D16" s="34" t="s">
        <v>114</v>
      </c>
      <c r="E16" s="35"/>
      <c r="F16" s="36" t="s">
        <v>115</v>
      </c>
      <c r="G16" s="36" t="s">
        <v>116</v>
      </c>
      <c r="H16" s="36" t="s">
        <v>113</v>
      </c>
      <c r="I16" s="37">
        <v>37356.666666666664</v>
      </c>
      <c r="J16" s="38">
        <v>115.08</v>
      </c>
      <c r="K16" s="38">
        <v>114.59</v>
      </c>
      <c r="L16" s="39"/>
      <c r="M16" s="36" t="s">
        <v>116</v>
      </c>
      <c r="N16" s="37">
        <v>37361.166666666664</v>
      </c>
      <c r="O16" s="38">
        <v>115.91</v>
      </c>
      <c r="P16" s="53" t="s">
        <v>120</v>
      </c>
      <c r="Q16" s="43" t="s">
        <v>121</v>
      </c>
      <c r="R16" s="44">
        <v>49</v>
      </c>
      <c r="S16" s="45"/>
      <c r="T16" s="46">
        <v>83</v>
      </c>
      <c r="U16" s="47">
        <f t="shared" si="3"/>
        <v>0</v>
      </c>
      <c r="V16" s="48">
        <v>102837</v>
      </c>
      <c r="X16" s="54"/>
      <c r="Y16" s="55"/>
      <c r="Z16" s="55"/>
      <c r="AA16" s="56">
        <f t="shared" si="1"/>
        <v>0</v>
      </c>
    </row>
    <row r="17" spans="1:27" ht="13.5">
      <c r="A17" s="52">
        <v>13</v>
      </c>
      <c r="B17" s="209">
        <f t="shared" si="2"/>
        <v>2126527</v>
      </c>
      <c r="C17" s="204">
        <v>0.03</v>
      </c>
      <c r="D17" s="34" t="s">
        <v>114</v>
      </c>
      <c r="E17" s="35"/>
      <c r="F17" s="36" t="s">
        <v>115</v>
      </c>
      <c r="G17" s="36" t="s">
        <v>116</v>
      </c>
      <c r="H17" s="36" t="s">
        <v>113</v>
      </c>
      <c r="I17" s="37">
        <v>37404.333333333336</v>
      </c>
      <c r="J17" s="38">
        <v>115.13</v>
      </c>
      <c r="K17" s="38">
        <v>114.66</v>
      </c>
      <c r="L17" s="39"/>
      <c r="M17" s="36" t="s">
        <v>116</v>
      </c>
      <c r="N17" s="37">
        <v>37419.666666666664</v>
      </c>
      <c r="O17" s="38">
        <v>118.62</v>
      </c>
      <c r="P17" s="53" t="s">
        <v>120</v>
      </c>
      <c r="Q17" s="43" t="s">
        <v>121</v>
      </c>
      <c r="R17" s="44">
        <v>47</v>
      </c>
      <c r="S17" s="45"/>
      <c r="T17" s="46">
        <v>349</v>
      </c>
      <c r="U17" s="47">
        <f t="shared" si="3"/>
        <v>0</v>
      </c>
      <c r="V17" s="48">
        <v>473593</v>
      </c>
      <c r="X17" s="54"/>
      <c r="Y17" s="55"/>
      <c r="Z17" s="55"/>
      <c r="AA17" s="56">
        <f t="shared" si="1"/>
        <v>0</v>
      </c>
    </row>
    <row r="18" spans="1:27" ht="13.5">
      <c r="A18" s="52">
        <v>14</v>
      </c>
      <c r="B18" s="209">
        <f t="shared" si="2"/>
        <v>2600120</v>
      </c>
      <c r="C18" s="204">
        <v>0.03</v>
      </c>
      <c r="D18" s="34" t="s">
        <v>114</v>
      </c>
      <c r="E18" s="35"/>
      <c r="F18" s="36" t="s">
        <v>115</v>
      </c>
      <c r="G18" s="36" t="s">
        <v>116</v>
      </c>
      <c r="H18" s="36" t="s">
        <v>102</v>
      </c>
      <c r="I18" s="37">
        <v>37420</v>
      </c>
      <c r="J18" s="38">
        <v>118.43</v>
      </c>
      <c r="K18" s="38">
        <v>118.92</v>
      </c>
      <c r="L18" s="39"/>
      <c r="M18" s="36" t="s">
        <v>116</v>
      </c>
      <c r="N18" s="37">
        <v>37425</v>
      </c>
      <c r="O18" s="38">
        <v>117.6</v>
      </c>
      <c r="P18" s="53" t="s">
        <v>119</v>
      </c>
      <c r="Q18" s="43" t="str">
        <f t="shared" si="0"/>
        <v>勝ち</v>
      </c>
      <c r="R18" s="44">
        <v>49</v>
      </c>
      <c r="S18" s="45"/>
      <c r="T18" s="46">
        <v>83</v>
      </c>
      <c r="U18" s="47">
        <f t="shared" si="3"/>
        <v>0</v>
      </c>
      <c r="V18" s="48">
        <v>132136</v>
      </c>
      <c r="X18" s="54"/>
      <c r="Y18" s="55"/>
      <c r="Z18" s="55"/>
      <c r="AA18" s="56">
        <f t="shared" si="1"/>
        <v>0</v>
      </c>
    </row>
    <row r="19" spans="1:27" ht="13.5">
      <c r="A19" s="52">
        <v>15</v>
      </c>
      <c r="B19" s="209">
        <f t="shared" si="2"/>
        <v>2732256</v>
      </c>
      <c r="C19" s="204">
        <v>0.03</v>
      </c>
      <c r="D19" s="34" t="s">
        <v>114</v>
      </c>
      <c r="E19" s="35"/>
      <c r="F19" s="36" t="s">
        <v>115</v>
      </c>
      <c r="G19" s="36" t="s">
        <v>116</v>
      </c>
      <c r="H19" s="36" t="s">
        <v>102</v>
      </c>
      <c r="I19" s="37">
        <v>37428.333333333336</v>
      </c>
      <c r="J19" s="38">
        <v>118.91</v>
      </c>
      <c r="K19" s="38">
        <v>119.58</v>
      </c>
      <c r="L19" s="39"/>
      <c r="M19" s="36" t="s">
        <v>116</v>
      </c>
      <c r="N19" s="37">
        <v>37431</v>
      </c>
      <c r="O19" s="38">
        <v>118.04</v>
      </c>
      <c r="P19" s="53" t="s">
        <v>119</v>
      </c>
      <c r="Q19" s="43" t="str">
        <f t="shared" si="0"/>
        <v>勝ち</v>
      </c>
      <c r="R19" s="44">
        <v>67</v>
      </c>
      <c r="S19" s="45"/>
      <c r="T19" s="46">
        <v>87</v>
      </c>
      <c r="U19" s="47">
        <f t="shared" si="3"/>
        <v>0</v>
      </c>
      <c r="V19" s="48">
        <v>106401</v>
      </c>
      <c r="X19" s="54"/>
      <c r="Y19" s="55"/>
      <c r="Z19" s="55"/>
      <c r="AA19" s="56">
        <f t="shared" si="1"/>
        <v>0</v>
      </c>
    </row>
    <row r="20" spans="1:27" ht="13.5">
      <c r="A20" s="52">
        <v>16</v>
      </c>
      <c r="B20" s="209">
        <f t="shared" si="2"/>
        <v>2838657</v>
      </c>
      <c r="C20" s="204">
        <v>0.03</v>
      </c>
      <c r="D20" s="34" t="s">
        <v>114</v>
      </c>
      <c r="E20" s="35"/>
      <c r="F20" s="36" t="s">
        <v>115</v>
      </c>
      <c r="G20" s="36" t="s">
        <v>116</v>
      </c>
      <c r="H20" s="36" t="s">
        <v>102</v>
      </c>
      <c r="I20" s="37">
        <v>37433.5</v>
      </c>
      <c r="J20" s="38">
        <v>118.8</v>
      </c>
      <c r="K20" s="38">
        <v>119.58</v>
      </c>
      <c r="L20" s="39"/>
      <c r="M20" s="36" t="s">
        <v>116</v>
      </c>
      <c r="N20" s="37">
        <v>37449.833333333336</v>
      </c>
      <c r="O20" s="38">
        <v>115.77</v>
      </c>
      <c r="P20" s="53" t="s">
        <v>119</v>
      </c>
      <c r="Q20" s="43" t="str">
        <f t="shared" si="0"/>
        <v>勝ち</v>
      </c>
      <c r="R20" s="44">
        <v>78</v>
      </c>
      <c r="S20" s="45"/>
      <c r="T20" s="46">
        <v>303</v>
      </c>
      <c r="U20" s="47">
        <f t="shared" si="3"/>
        <v>0</v>
      </c>
      <c r="V20" s="48">
        <v>330876</v>
      </c>
      <c r="X20" s="54"/>
      <c r="Y20" s="55"/>
      <c r="Z20" s="55"/>
      <c r="AA20" s="56">
        <f t="shared" si="1"/>
        <v>0</v>
      </c>
    </row>
    <row r="21" spans="1:27" ht="13.5">
      <c r="A21" s="52">
        <v>17</v>
      </c>
      <c r="B21" s="209">
        <f t="shared" si="2"/>
        <v>3169533</v>
      </c>
      <c r="C21" s="204">
        <v>0.03</v>
      </c>
      <c r="D21" s="34" t="s">
        <v>114</v>
      </c>
      <c r="E21" s="35"/>
      <c r="F21" s="36" t="s">
        <v>115</v>
      </c>
      <c r="G21" s="36" t="s">
        <v>116</v>
      </c>
      <c r="H21" s="36" t="s">
        <v>102</v>
      </c>
      <c r="I21" s="37">
        <v>37468.166666666664</v>
      </c>
      <c r="J21" s="38">
        <v>118.07</v>
      </c>
      <c r="K21" s="38">
        <v>118.45</v>
      </c>
      <c r="L21" s="39"/>
      <c r="M21" s="36" t="s">
        <v>116</v>
      </c>
      <c r="N21" s="37">
        <v>37483</v>
      </c>
      <c r="O21" s="38">
        <v>115.23</v>
      </c>
      <c r="P21" s="53" t="s">
        <v>119</v>
      </c>
      <c r="Q21" s="43" t="str">
        <f t="shared" si="0"/>
        <v>勝ち</v>
      </c>
      <c r="R21" s="44">
        <v>38</v>
      </c>
      <c r="S21" s="45"/>
      <c r="T21" s="46">
        <v>284</v>
      </c>
      <c r="U21" s="47">
        <f t="shared" si="3"/>
        <v>0</v>
      </c>
      <c r="V21" s="48">
        <v>710568</v>
      </c>
      <c r="X21" s="54"/>
      <c r="Y21" s="55"/>
      <c r="Z21" s="55"/>
      <c r="AA21" s="56">
        <f t="shared" si="1"/>
        <v>0</v>
      </c>
    </row>
    <row r="22" spans="1:27" ht="13.5">
      <c r="A22" s="52">
        <v>18</v>
      </c>
      <c r="B22" s="209">
        <f t="shared" si="2"/>
        <v>3880101</v>
      </c>
      <c r="C22" s="204">
        <v>0.03</v>
      </c>
      <c r="D22" s="34" t="s">
        <v>114</v>
      </c>
      <c r="E22" s="35"/>
      <c r="F22" s="36" t="s">
        <v>115</v>
      </c>
      <c r="G22" s="36" t="s">
        <v>116</v>
      </c>
      <c r="H22" s="36" t="s">
        <v>113</v>
      </c>
      <c r="I22" s="37">
        <v>37484.5</v>
      </c>
      <c r="J22" s="38">
        <v>115.55</v>
      </c>
      <c r="K22" s="38">
        <v>114.95</v>
      </c>
      <c r="L22" s="39"/>
      <c r="M22" s="36" t="s">
        <v>116</v>
      </c>
      <c r="N22" s="37">
        <v>37523</v>
      </c>
      <c r="O22" s="38">
        <v>120.86</v>
      </c>
      <c r="P22" s="53" t="s">
        <v>120</v>
      </c>
      <c r="Q22" s="43" t="s">
        <v>121</v>
      </c>
      <c r="R22" s="44">
        <v>60</v>
      </c>
      <c r="S22" s="45"/>
      <c r="T22" s="46">
        <v>531</v>
      </c>
      <c r="U22" s="47">
        <f t="shared" si="3"/>
        <v>0</v>
      </c>
      <c r="V22" s="48">
        <v>1030140</v>
      </c>
      <c r="X22" s="54"/>
      <c r="Y22" s="55"/>
      <c r="Z22" s="55"/>
      <c r="AA22" s="56">
        <f t="shared" si="1"/>
        <v>0</v>
      </c>
    </row>
    <row r="23" spans="1:27" ht="13.5">
      <c r="A23" s="52">
        <v>19</v>
      </c>
      <c r="B23" s="209">
        <f t="shared" si="2"/>
        <v>4910241</v>
      </c>
      <c r="C23" s="204">
        <v>0.03</v>
      </c>
      <c r="D23" s="34" t="s">
        <v>114</v>
      </c>
      <c r="E23" s="35"/>
      <c r="F23" s="36" t="s">
        <v>115</v>
      </c>
      <c r="G23" s="36" t="s">
        <v>116</v>
      </c>
      <c r="H23" s="36" t="s">
        <v>102</v>
      </c>
      <c r="I23" s="37">
        <v>37523</v>
      </c>
      <c r="J23" s="38">
        <v>120.97</v>
      </c>
      <c r="K23" s="38">
        <v>121.95</v>
      </c>
      <c r="L23" s="39"/>
      <c r="M23" s="36" t="s">
        <v>116</v>
      </c>
      <c r="N23" s="37">
        <v>37526.333333333336</v>
      </c>
      <c r="O23" s="38">
        <v>119.74</v>
      </c>
      <c r="P23" s="53" t="s">
        <v>119</v>
      </c>
      <c r="Q23" s="43" t="str">
        <f t="shared" si="0"/>
        <v>勝ち</v>
      </c>
      <c r="R23" s="44">
        <v>98</v>
      </c>
      <c r="S23" s="45"/>
      <c r="T23" s="46">
        <v>123</v>
      </c>
      <c r="U23" s="47">
        <f t="shared" si="3"/>
        <v>0</v>
      </c>
      <c r="V23" s="48">
        <v>184869</v>
      </c>
      <c r="X23" s="57"/>
      <c r="Y23" s="58"/>
      <c r="Z23" s="58"/>
      <c r="AA23" s="59">
        <f t="shared" si="1"/>
        <v>0</v>
      </c>
    </row>
    <row r="24" spans="1:22" ht="13.5">
      <c r="A24" s="52">
        <v>20</v>
      </c>
      <c r="B24" s="209">
        <f t="shared" si="2"/>
        <v>5095110</v>
      </c>
      <c r="C24" s="204">
        <v>0.03</v>
      </c>
      <c r="D24" s="34" t="s">
        <v>114</v>
      </c>
      <c r="E24" s="35"/>
      <c r="F24" s="36" t="s">
        <v>115</v>
      </c>
      <c r="G24" s="36" t="s">
        <v>116</v>
      </c>
      <c r="H24" s="36" t="s">
        <v>113</v>
      </c>
      <c r="I24" s="37">
        <v>37530.5</v>
      </c>
      <c r="J24" s="38">
        <v>120.77</v>
      </c>
      <c r="K24" s="38">
        <v>120.19</v>
      </c>
      <c r="L24" s="39"/>
      <c r="M24" s="36" t="s">
        <v>116</v>
      </c>
      <c r="N24" s="37">
        <v>37544.333333333336</v>
      </c>
      <c r="O24" s="38">
        <v>122.35</v>
      </c>
      <c r="P24" s="53" t="s">
        <v>120</v>
      </c>
      <c r="Q24" s="43" t="s">
        <v>121</v>
      </c>
      <c r="R24" s="44">
        <v>58</v>
      </c>
      <c r="S24" s="45"/>
      <c r="T24" s="46">
        <v>158</v>
      </c>
      <c r="U24" s="47">
        <f t="shared" si="3"/>
        <v>0</v>
      </c>
      <c r="V24" s="48">
        <v>416330</v>
      </c>
    </row>
    <row r="25" spans="1:22" ht="13.5">
      <c r="A25" s="52">
        <v>21</v>
      </c>
      <c r="B25" s="209">
        <f t="shared" si="2"/>
        <v>5511440</v>
      </c>
      <c r="C25" s="204">
        <v>0.03</v>
      </c>
      <c r="D25" s="34" t="s">
        <v>114</v>
      </c>
      <c r="E25" s="35"/>
      <c r="F25" s="36" t="s">
        <v>115</v>
      </c>
      <c r="G25" s="36" t="s">
        <v>116</v>
      </c>
      <c r="H25" s="36" t="s">
        <v>102</v>
      </c>
      <c r="I25" s="37">
        <v>37545.333333333336</v>
      </c>
      <c r="J25" s="38">
        <v>122.29</v>
      </c>
      <c r="K25" s="38">
        <v>122.61</v>
      </c>
      <c r="L25" s="39"/>
      <c r="M25" s="36" t="s">
        <v>116</v>
      </c>
      <c r="N25" s="37">
        <v>37547.166666666664</v>
      </c>
      <c r="O25" s="38">
        <v>121.69</v>
      </c>
      <c r="P25" s="53" t="s">
        <v>119</v>
      </c>
      <c r="Q25" s="43" t="str">
        <f t="shared" si="0"/>
        <v>勝ち</v>
      </c>
      <c r="R25" s="44">
        <v>32</v>
      </c>
      <c r="S25" s="45"/>
      <c r="T25" s="46">
        <v>60</v>
      </c>
      <c r="U25" s="47">
        <f t="shared" si="3"/>
        <v>0</v>
      </c>
      <c r="V25" s="48">
        <v>310020</v>
      </c>
    </row>
    <row r="26" spans="1:22" ht="13.5">
      <c r="A26" s="52">
        <v>22</v>
      </c>
      <c r="B26" s="209">
        <f t="shared" si="2"/>
        <v>5821460</v>
      </c>
      <c r="C26" s="204">
        <v>0.03</v>
      </c>
      <c r="D26" s="34" t="s">
        <v>114</v>
      </c>
      <c r="E26" s="35"/>
      <c r="F26" s="36" t="s">
        <v>115</v>
      </c>
      <c r="G26" s="36" t="s">
        <v>116</v>
      </c>
      <c r="H26" s="36" t="s">
        <v>113</v>
      </c>
      <c r="I26" s="37">
        <v>37561</v>
      </c>
      <c r="J26" s="38">
        <v>121.46</v>
      </c>
      <c r="K26" s="38">
        <v>121.14</v>
      </c>
      <c r="L26" s="39"/>
      <c r="M26" s="36" t="s">
        <v>116</v>
      </c>
      <c r="N26" s="37">
        <v>37568.333333333336</v>
      </c>
      <c r="O26" s="38">
        <v>121.85</v>
      </c>
      <c r="P26" s="53" t="s">
        <v>120</v>
      </c>
      <c r="Q26" s="43" t="s">
        <v>121</v>
      </c>
      <c r="R26" s="44">
        <v>32</v>
      </c>
      <c r="S26" s="45"/>
      <c r="T26" s="46">
        <v>39</v>
      </c>
      <c r="U26" s="47">
        <f t="shared" si="3"/>
        <v>0</v>
      </c>
      <c r="V26" s="48">
        <v>212862</v>
      </c>
    </row>
    <row r="27" spans="1:22" ht="13.5">
      <c r="A27" s="52">
        <v>23</v>
      </c>
      <c r="B27" s="209">
        <f t="shared" si="2"/>
        <v>6034322</v>
      </c>
      <c r="C27" s="204">
        <v>0.03</v>
      </c>
      <c r="D27" s="34" t="s">
        <v>114</v>
      </c>
      <c r="E27" s="35"/>
      <c r="F27" s="36" t="s">
        <v>115</v>
      </c>
      <c r="G27" s="36" t="s">
        <v>116</v>
      </c>
      <c r="H27" s="36" t="s">
        <v>113</v>
      </c>
      <c r="I27" s="233">
        <v>37572.666666666664</v>
      </c>
      <c r="J27" s="38">
        <v>120.91</v>
      </c>
      <c r="K27" s="38">
        <v>120.35</v>
      </c>
      <c r="L27" s="39"/>
      <c r="M27" s="36" t="s">
        <v>116</v>
      </c>
      <c r="N27" s="37">
        <v>37582.5</v>
      </c>
      <c r="O27" s="38">
        <v>122.8</v>
      </c>
      <c r="P27" s="53" t="s">
        <v>120</v>
      </c>
      <c r="Q27" s="43" t="s">
        <v>121</v>
      </c>
      <c r="R27" s="44">
        <v>56</v>
      </c>
      <c r="S27" s="45"/>
      <c r="T27" s="46">
        <v>189</v>
      </c>
      <c r="U27" s="47">
        <f t="shared" si="3"/>
        <v>0</v>
      </c>
      <c r="V27" s="48">
        <v>611037</v>
      </c>
    </row>
    <row r="28" spans="1:22" ht="13.5">
      <c r="A28" s="52">
        <v>24</v>
      </c>
      <c r="B28" s="209">
        <f t="shared" si="2"/>
        <v>6645359</v>
      </c>
      <c r="C28" s="204">
        <v>0.03</v>
      </c>
      <c r="D28" s="34" t="s">
        <v>114</v>
      </c>
      <c r="E28" s="35"/>
      <c r="F28" s="36" t="s">
        <v>115</v>
      </c>
      <c r="G28" s="36" t="s">
        <v>116</v>
      </c>
      <c r="H28" s="36" t="s">
        <v>102</v>
      </c>
      <c r="I28" s="37">
        <v>37585.5</v>
      </c>
      <c r="J28" s="38">
        <v>121.85</v>
      </c>
      <c r="K28" s="38">
        <v>122.2</v>
      </c>
      <c r="L28" s="39"/>
      <c r="M28" s="36" t="s">
        <v>116</v>
      </c>
      <c r="N28" s="37">
        <v>37587.666666666664</v>
      </c>
      <c r="O28" s="38">
        <v>121.2</v>
      </c>
      <c r="P28" s="53"/>
      <c r="Q28" s="43" t="str">
        <f t="shared" si="0"/>
        <v>勝ち</v>
      </c>
      <c r="R28" s="44">
        <v>35</v>
      </c>
      <c r="S28" s="45"/>
      <c r="T28" s="46">
        <v>65</v>
      </c>
      <c r="U28" s="47">
        <f t="shared" si="3"/>
        <v>0</v>
      </c>
      <c r="V28" s="48">
        <v>370240</v>
      </c>
    </row>
    <row r="29" spans="1:22" ht="13.5">
      <c r="A29" s="52">
        <v>25</v>
      </c>
      <c r="B29" s="209">
        <f t="shared" si="2"/>
        <v>7015599</v>
      </c>
      <c r="C29" s="204">
        <v>0.03</v>
      </c>
      <c r="D29" s="34" t="s">
        <v>114</v>
      </c>
      <c r="E29" s="35"/>
      <c r="F29" s="36" t="s">
        <v>115</v>
      </c>
      <c r="G29" s="36" t="s">
        <v>116</v>
      </c>
      <c r="H29" s="36" t="s">
        <v>113</v>
      </c>
      <c r="I29" s="37">
        <v>37589.166666666664</v>
      </c>
      <c r="J29" s="38">
        <v>121.56</v>
      </c>
      <c r="K29" s="38">
        <v>121.31</v>
      </c>
      <c r="L29" s="39"/>
      <c r="M29" s="36" t="s">
        <v>116</v>
      </c>
      <c r="N29" s="37">
        <v>37595.666666666664</v>
      </c>
      <c r="O29" s="38">
        <v>125.13</v>
      </c>
      <c r="P29" s="53"/>
      <c r="Q29" s="43" t="s">
        <v>121</v>
      </c>
      <c r="R29" s="44">
        <v>25</v>
      </c>
      <c r="S29" s="45"/>
      <c r="T29" s="46">
        <v>357</v>
      </c>
      <c r="U29" s="47">
        <f t="shared" si="3"/>
        <v>0</v>
      </c>
      <c r="V29" s="48">
        <v>3005583</v>
      </c>
    </row>
    <row r="30" spans="1:22" ht="13.5">
      <c r="A30" s="52">
        <v>26</v>
      </c>
      <c r="B30" s="209">
        <f t="shared" si="2"/>
        <v>10021182</v>
      </c>
      <c r="C30" s="204">
        <v>0.03</v>
      </c>
      <c r="D30" s="34"/>
      <c r="E30" s="35"/>
      <c r="F30" s="36"/>
      <c r="G30" s="36"/>
      <c r="H30" s="36"/>
      <c r="I30" s="37"/>
      <c r="J30" s="38"/>
      <c r="K30" s="38"/>
      <c r="L30" s="39">
        <f aca="true" t="shared" si="4" ref="L30:L68">IF(H30="","",IF(H30="買い",J30+$C$3*VLOOKUP(E30,$X$5:$AA$23,3,FALSE),J30-$C$3*VLOOKUP(E30,$X$5:$AA$23,3,FALSE)))</f>
      </c>
      <c r="M30" s="36"/>
      <c r="N30" s="37"/>
      <c r="O30" s="38"/>
      <c r="P30" s="53"/>
      <c r="Q30" s="43">
        <f t="shared" si="0"/>
      </c>
      <c r="R30" s="44">
        <f aca="true" t="shared" si="5" ref="R30:R68">IF(K30="",,ABS(J30-K30)/VLOOKUP(E30,$X$5:$Z$23,3,FALSE))</f>
        <v>0</v>
      </c>
      <c r="S30" s="45">
        <f aca="true" t="shared" si="6" ref="S30:S68">IF(K30="",0,ROUNDDOWN((B30*C30)/(VLOOKUP(E30,$X$5:$AA$23,4,FALSE)*R30),-3))</f>
        <v>0</v>
      </c>
      <c r="T30" s="46">
        <f aca="true" t="shared" si="7" ref="T30:T68">IF(Q30="勝ち",IF(H30="買い",(O30-J30)/VLOOKUP(E30,$X$5:$AA$23,3,FALSE),(J30-O30)/VLOOKUP(E30,$X$5:$AA$23,3,FALSE)),0)</f>
        <v>0</v>
      </c>
      <c r="U30" s="47">
        <f t="shared" si="3"/>
        <v>0</v>
      </c>
      <c r="V30" s="48">
        <f aca="true" t="shared" si="8" ref="V30:V68">IF(Q30="保留中",-R30*S30*VLOOKUP(E30,$X$5:$AA$23,4,FALSE),IF(O30="","",S30*VLOOKUP(E30,$X$5:$AA$23,4,FALSE)*U30+S30*VLOOKUP(E30,$X$5:$AA$23,4,FALSE)*T30))</f>
      </c>
    </row>
    <row r="31" spans="1:22" ht="13.5">
      <c r="A31" s="52">
        <v>27</v>
      </c>
      <c r="B31" s="209">
        <f t="shared" si="2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4"/>
      </c>
      <c r="M31" s="36"/>
      <c r="N31" s="37"/>
      <c r="O31" s="38"/>
      <c r="P31" s="53"/>
      <c r="Q31" s="43">
        <f t="shared" si="0"/>
      </c>
      <c r="R31" s="44">
        <f t="shared" si="5"/>
        <v>0</v>
      </c>
      <c r="S31" s="45">
        <f t="shared" si="6"/>
        <v>0</v>
      </c>
      <c r="T31" s="46">
        <f t="shared" si="7"/>
        <v>0</v>
      </c>
      <c r="U31" s="47">
        <f t="shared" si="3"/>
        <v>0</v>
      </c>
      <c r="V31" s="48">
        <f t="shared" si="8"/>
      </c>
    </row>
    <row r="32" spans="1:22" ht="13.5">
      <c r="A32" s="52">
        <v>28</v>
      </c>
      <c r="B32" s="209">
        <f t="shared" si="2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4"/>
      </c>
      <c r="M32" s="36"/>
      <c r="N32" s="37"/>
      <c r="O32" s="38"/>
      <c r="P32" s="53"/>
      <c r="Q32" s="43">
        <f t="shared" si="0"/>
      </c>
      <c r="R32" s="44">
        <f t="shared" si="5"/>
        <v>0</v>
      </c>
      <c r="S32" s="45">
        <f t="shared" si="6"/>
        <v>0</v>
      </c>
      <c r="T32" s="46">
        <f t="shared" si="7"/>
        <v>0</v>
      </c>
      <c r="U32" s="47">
        <f t="shared" si="3"/>
        <v>0</v>
      </c>
      <c r="V32" s="48">
        <f t="shared" si="8"/>
      </c>
    </row>
    <row r="33" spans="1:22" ht="13.5">
      <c r="A33" s="52">
        <v>29</v>
      </c>
      <c r="B33" s="209">
        <f t="shared" si="2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4"/>
      </c>
      <c r="M33" s="36"/>
      <c r="N33" s="37"/>
      <c r="O33" s="38"/>
      <c r="P33" s="53"/>
      <c r="Q33" s="43">
        <f t="shared" si="0"/>
      </c>
      <c r="R33" s="44">
        <f t="shared" si="5"/>
        <v>0</v>
      </c>
      <c r="S33" s="45">
        <f t="shared" si="6"/>
        <v>0</v>
      </c>
      <c r="T33" s="46">
        <f t="shared" si="7"/>
        <v>0</v>
      </c>
      <c r="U33" s="47">
        <f t="shared" si="3"/>
        <v>0</v>
      </c>
      <c r="V33" s="48">
        <f t="shared" si="8"/>
      </c>
    </row>
    <row r="34" spans="1:22" ht="13.5">
      <c r="A34" s="52">
        <v>30</v>
      </c>
      <c r="B34" s="209">
        <f t="shared" si="2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4"/>
      </c>
      <c r="M34" s="36"/>
      <c r="N34" s="37"/>
      <c r="O34" s="38"/>
      <c r="P34" s="53"/>
      <c r="Q34" s="43">
        <f t="shared" si="0"/>
      </c>
      <c r="R34" s="44">
        <f t="shared" si="5"/>
        <v>0</v>
      </c>
      <c r="S34" s="45">
        <f t="shared" si="6"/>
        <v>0</v>
      </c>
      <c r="T34" s="46">
        <f t="shared" si="7"/>
        <v>0</v>
      </c>
      <c r="U34" s="47">
        <f t="shared" si="3"/>
        <v>0</v>
      </c>
      <c r="V34" s="48">
        <f t="shared" si="8"/>
      </c>
    </row>
    <row r="35" spans="1:22" ht="13.5">
      <c r="A35" s="52">
        <v>31</v>
      </c>
      <c r="B35" s="209">
        <f t="shared" si="2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4"/>
      </c>
      <c r="M35" s="36"/>
      <c r="N35" s="37"/>
      <c r="O35" s="38"/>
      <c r="P35" s="53"/>
      <c r="Q35" s="43">
        <f t="shared" si="0"/>
      </c>
      <c r="R35" s="44">
        <f t="shared" si="5"/>
        <v>0</v>
      </c>
      <c r="S35" s="45">
        <f t="shared" si="6"/>
        <v>0</v>
      </c>
      <c r="T35" s="46">
        <f t="shared" si="7"/>
        <v>0</v>
      </c>
      <c r="U35" s="47">
        <f t="shared" si="3"/>
        <v>0</v>
      </c>
      <c r="V35" s="48">
        <f t="shared" si="8"/>
      </c>
    </row>
    <row r="36" spans="1:22" ht="13.5">
      <c r="A36" s="52">
        <v>32</v>
      </c>
      <c r="B36" s="209">
        <f t="shared" si="2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4"/>
      </c>
      <c r="M36" s="36"/>
      <c r="N36" s="37"/>
      <c r="O36" s="38"/>
      <c r="P36" s="53"/>
      <c r="Q36" s="43">
        <f t="shared" si="0"/>
      </c>
      <c r="R36" s="44">
        <f t="shared" si="5"/>
        <v>0</v>
      </c>
      <c r="S36" s="45">
        <f t="shared" si="6"/>
        <v>0</v>
      </c>
      <c r="T36" s="46">
        <f t="shared" si="7"/>
        <v>0</v>
      </c>
      <c r="U36" s="47">
        <f t="shared" si="3"/>
        <v>0</v>
      </c>
      <c r="V36" s="48">
        <f t="shared" si="8"/>
      </c>
    </row>
    <row r="37" spans="1:22" ht="13.5">
      <c r="A37" s="52">
        <v>33</v>
      </c>
      <c r="B37" s="209">
        <f t="shared" si="2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4"/>
      </c>
      <c r="M37" s="36"/>
      <c r="N37" s="37"/>
      <c r="O37" s="38"/>
      <c r="P37" s="53"/>
      <c r="Q37" s="43">
        <f t="shared" si="0"/>
      </c>
      <c r="R37" s="44">
        <f t="shared" si="5"/>
        <v>0</v>
      </c>
      <c r="S37" s="45">
        <f t="shared" si="6"/>
        <v>0</v>
      </c>
      <c r="T37" s="46">
        <f t="shared" si="7"/>
        <v>0</v>
      </c>
      <c r="U37" s="47">
        <f t="shared" si="3"/>
        <v>0</v>
      </c>
      <c r="V37" s="48">
        <f t="shared" si="8"/>
      </c>
    </row>
    <row r="38" spans="1:22" ht="13.5">
      <c r="A38" s="52">
        <v>34</v>
      </c>
      <c r="B38" s="209">
        <f t="shared" si="2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4"/>
      </c>
      <c r="M38" s="36"/>
      <c r="N38" s="37"/>
      <c r="O38" s="38"/>
      <c r="P38" s="53"/>
      <c r="Q38" s="43">
        <f t="shared" si="0"/>
      </c>
      <c r="R38" s="44">
        <f t="shared" si="5"/>
        <v>0</v>
      </c>
      <c r="S38" s="45">
        <f t="shared" si="6"/>
        <v>0</v>
      </c>
      <c r="T38" s="46">
        <f t="shared" si="7"/>
        <v>0</v>
      </c>
      <c r="U38" s="47">
        <f t="shared" si="3"/>
        <v>0</v>
      </c>
      <c r="V38" s="48">
        <f t="shared" si="8"/>
      </c>
    </row>
    <row r="39" spans="1:22" ht="13.5">
      <c r="A39" s="52">
        <v>35</v>
      </c>
      <c r="B39" s="209">
        <f t="shared" si="2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4"/>
      </c>
      <c r="M39" s="36"/>
      <c r="N39" s="37"/>
      <c r="O39" s="38"/>
      <c r="P39" s="53"/>
      <c r="Q39" s="43">
        <f t="shared" si="0"/>
      </c>
      <c r="R39" s="44">
        <f t="shared" si="5"/>
        <v>0</v>
      </c>
      <c r="S39" s="45">
        <f t="shared" si="6"/>
        <v>0</v>
      </c>
      <c r="T39" s="46">
        <f t="shared" si="7"/>
        <v>0</v>
      </c>
      <c r="U39" s="47">
        <f t="shared" si="3"/>
        <v>0</v>
      </c>
      <c r="V39" s="48">
        <f t="shared" si="8"/>
      </c>
    </row>
    <row r="40" spans="1:22" ht="13.5">
      <c r="A40" s="52">
        <v>36</v>
      </c>
      <c r="B40" s="209">
        <f t="shared" si="2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4"/>
      </c>
      <c r="M40" s="36"/>
      <c r="N40" s="37"/>
      <c r="O40" s="38"/>
      <c r="P40" s="53"/>
      <c r="Q40" s="43">
        <f t="shared" si="0"/>
      </c>
      <c r="R40" s="44">
        <f t="shared" si="5"/>
        <v>0</v>
      </c>
      <c r="S40" s="45">
        <f t="shared" si="6"/>
        <v>0</v>
      </c>
      <c r="T40" s="46">
        <f t="shared" si="7"/>
        <v>0</v>
      </c>
      <c r="U40" s="47">
        <f t="shared" si="3"/>
        <v>0</v>
      </c>
      <c r="V40" s="48">
        <f t="shared" si="8"/>
      </c>
    </row>
    <row r="41" spans="1:22" ht="13.5">
      <c r="A41" s="52">
        <v>37</v>
      </c>
      <c r="B41" s="209">
        <f t="shared" si="2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4"/>
      </c>
      <c r="M41" s="36"/>
      <c r="N41" s="37"/>
      <c r="O41" s="38"/>
      <c r="P41" s="53"/>
      <c r="Q41" s="43">
        <f t="shared" si="0"/>
      </c>
      <c r="R41" s="44">
        <f t="shared" si="5"/>
        <v>0</v>
      </c>
      <c r="S41" s="45">
        <f t="shared" si="6"/>
        <v>0</v>
      </c>
      <c r="T41" s="46">
        <f t="shared" si="7"/>
        <v>0</v>
      </c>
      <c r="U41" s="47">
        <f t="shared" si="3"/>
        <v>0</v>
      </c>
      <c r="V41" s="48">
        <f t="shared" si="8"/>
      </c>
    </row>
    <row r="42" spans="1:22" ht="13.5">
      <c r="A42" s="52">
        <v>38</v>
      </c>
      <c r="B42" s="209">
        <f t="shared" si="2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4"/>
      </c>
      <c r="M42" s="36"/>
      <c r="N42" s="37"/>
      <c r="O42" s="38"/>
      <c r="P42" s="53"/>
      <c r="Q42" s="43">
        <f t="shared" si="0"/>
      </c>
      <c r="R42" s="44">
        <f t="shared" si="5"/>
        <v>0</v>
      </c>
      <c r="S42" s="45">
        <f t="shared" si="6"/>
        <v>0</v>
      </c>
      <c r="T42" s="46">
        <f t="shared" si="7"/>
        <v>0</v>
      </c>
      <c r="U42" s="47">
        <f t="shared" si="3"/>
        <v>0</v>
      </c>
      <c r="V42" s="48">
        <f t="shared" si="8"/>
      </c>
    </row>
    <row r="43" spans="1:22" ht="13.5">
      <c r="A43" s="52">
        <v>39</v>
      </c>
      <c r="B43" s="209">
        <f t="shared" si="2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4"/>
      </c>
      <c r="M43" s="36"/>
      <c r="N43" s="37"/>
      <c r="O43" s="38"/>
      <c r="P43" s="53"/>
      <c r="Q43" s="43">
        <f t="shared" si="0"/>
      </c>
      <c r="R43" s="44">
        <f t="shared" si="5"/>
        <v>0</v>
      </c>
      <c r="S43" s="45">
        <f t="shared" si="6"/>
        <v>0</v>
      </c>
      <c r="T43" s="46">
        <f t="shared" si="7"/>
        <v>0</v>
      </c>
      <c r="U43" s="47">
        <f t="shared" si="3"/>
        <v>0</v>
      </c>
      <c r="V43" s="48">
        <f t="shared" si="8"/>
      </c>
    </row>
    <row r="44" spans="1:22" ht="13.5">
      <c r="A44" s="52">
        <v>40</v>
      </c>
      <c r="B44" s="209">
        <f t="shared" si="2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4"/>
      </c>
      <c r="M44" s="36"/>
      <c r="N44" s="37"/>
      <c r="O44" s="38"/>
      <c r="P44" s="53"/>
      <c r="Q44" s="43">
        <f t="shared" si="0"/>
      </c>
      <c r="R44" s="44">
        <f t="shared" si="5"/>
        <v>0</v>
      </c>
      <c r="S44" s="45">
        <f t="shared" si="6"/>
        <v>0</v>
      </c>
      <c r="T44" s="46">
        <f t="shared" si="7"/>
        <v>0</v>
      </c>
      <c r="U44" s="47">
        <f t="shared" si="3"/>
        <v>0</v>
      </c>
      <c r="V44" s="48">
        <f t="shared" si="8"/>
      </c>
    </row>
    <row r="45" spans="1:22" ht="13.5">
      <c r="A45" s="52">
        <v>41</v>
      </c>
      <c r="B45" s="209">
        <f t="shared" si="2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4"/>
      </c>
      <c r="M45" s="36"/>
      <c r="N45" s="37"/>
      <c r="O45" s="38"/>
      <c r="P45" s="53"/>
      <c r="Q45" s="43">
        <f t="shared" si="0"/>
      </c>
      <c r="R45" s="44">
        <f t="shared" si="5"/>
        <v>0</v>
      </c>
      <c r="S45" s="45">
        <f t="shared" si="6"/>
        <v>0</v>
      </c>
      <c r="T45" s="46">
        <f t="shared" si="7"/>
        <v>0</v>
      </c>
      <c r="U45" s="47">
        <f t="shared" si="3"/>
        <v>0</v>
      </c>
      <c r="V45" s="48">
        <f t="shared" si="8"/>
      </c>
    </row>
    <row r="46" spans="1:22" ht="13.5">
      <c r="A46" s="52">
        <v>42</v>
      </c>
      <c r="B46" s="209">
        <f t="shared" si="2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4"/>
      </c>
      <c r="M46" s="36"/>
      <c r="N46" s="37"/>
      <c r="O46" s="38"/>
      <c r="P46" s="53"/>
      <c r="Q46" s="43">
        <f t="shared" si="0"/>
      </c>
      <c r="R46" s="44">
        <f t="shared" si="5"/>
        <v>0</v>
      </c>
      <c r="S46" s="45">
        <f t="shared" si="6"/>
        <v>0</v>
      </c>
      <c r="T46" s="46">
        <f t="shared" si="7"/>
        <v>0</v>
      </c>
      <c r="U46" s="47">
        <f t="shared" si="3"/>
        <v>0</v>
      </c>
      <c r="V46" s="48">
        <f t="shared" si="8"/>
      </c>
    </row>
    <row r="47" spans="1:22" ht="13.5">
      <c r="A47" s="52">
        <v>43</v>
      </c>
      <c r="B47" s="209">
        <f t="shared" si="2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4"/>
      </c>
      <c r="M47" s="36"/>
      <c r="N47" s="37"/>
      <c r="O47" s="38"/>
      <c r="P47" s="53"/>
      <c r="Q47" s="43">
        <f t="shared" si="0"/>
      </c>
      <c r="R47" s="44">
        <f t="shared" si="5"/>
        <v>0</v>
      </c>
      <c r="S47" s="45">
        <f t="shared" si="6"/>
        <v>0</v>
      </c>
      <c r="T47" s="46">
        <f t="shared" si="7"/>
        <v>0</v>
      </c>
      <c r="U47" s="47">
        <f t="shared" si="3"/>
        <v>0</v>
      </c>
      <c r="V47" s="48">
        <f t="shared" si="8"/>
      </c>
    </row>
    <row r="48" spans="1:22" ht="13.5">
      <c r="A48" s="52">
        <v>44</v>
      </c>
      <c r="B48" s="209">
        <f t="shared" si="2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4"/>
      </c>
      <c r="M48" s="36"/>
      <c r="N48" s="37"/>
      <c r="O48" s="38"/>
      <c r="P48" s="53"/>
      <c r="Q48" s="43">
        <f t="shared" si="0"/>
      </c>
      <c r="R48" s="44">
        <f t="shared" si="5"/>
        <v>0</v>
      </c>
      <c r="S48" s="45">
        <f t="shared" si="6"/>
        <v>0</v>
      </c>
      <c r="T48" s="46">
        <f t="shared" si="7"/>
        <v>0</v>
      </c>
      <c r="U48" s="47">
        <f t="shared" si="3"/>
        <v>0</v>
      </c>
      <c r="V48" s="48">
        <f t="shared" si="8"/>
      </c>
    </row>
    <row r="49" spans="1:22" ht="13.5">
      <c r="A49" s="52">
        <v>45</v>
      </c>
      <c r="B49" s="209">
        <f t="shared" si="2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4"/>
      </c>
      <c r="M49" s="36"/>
      <c r="N49" s="37"/>
      <c r="O49" s="38"/>
      <c r="P49" s="53"/>
      <c r="Q49" s="43">
        <f t="shared" si="0"/>
      </c>
      <c r="R49" s="44">
        <f t="shared" si="5"/>
        <v>0</v>
      </c>
      <c r="S49" s="45">
        <f t="shared" si="6"/>
        <v>0</v>
      </c>
      <c r="T49" s="46">
        <f t="shared" si="7"/>
        <v>0</v>
      </c>
      <c r="U49" s="47">
        <f t="shared" si="3"/>
        <v>0</v>
      </c>
      <c r="V49" s="48">
        <f t="shared" si="8"/>
      </c>
    </row>
    <row r="50" spans="1:22" ht="13.5">
      <c r="A50" s="52">
        <v>46</v>
      </c>
      <c r="B50" s="209">
        <f t="shared" si="2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4"/>
      </c>
      <c r="M50" s="36"/>
      <c r="N50" s="37"/>
      <c r="O50" s="38"/>
      <c r="P50" s="53"/>
      <c r="Q50" s="43">
        <f t="shared" si="0"/>
      </c>
      <c r="R50" s="44">
        <f t="shared" si="5"/>
        <v>0</v>
      </c>
      <c r="S50" s="45">
        <f t="shared" si="6"/>
        <v>0</v>
      </c>
      <c r="T50" s="46">
        <f t="shared" si="7"/>
        <v>0</v>
      </c>
      <c r="U50" s="47">
        <f t="shared" si="3"/>
        <v>0</v>
      </c>
      <c r="V50" s="48">
        <f t="shared" si="8"/>
      </c>
    </row>
    <row r="51" spans="1:22" ht="13.5">
      <c r="A51" s="52">
        <v>47</v>
      </c>
      <c r="B51" s="209">
        <f t="shared" si="2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4"/>
      </c>
      <c r="M51" s="36"/>
      <c r="N51" s="37"/>
      <c r="O51" s="38"/>
      <c r="P51" s="53"/>
      <c r="Q51" s="43">
        <f t="shared" si="0"/>
      </c>
      <c r="R51" s="44">
        <f t="shared" si="5"/>
        <v>0</v>
      </c>
      <c r="S51" s="45">
        <f t="shared" si="6"/>
        <v>0</v>
      </c>
      <c r="T51" s="46">
        <f t="shared" si="7"/>
        <v>0</v>
      </c>
      <c r="U51" s="47">
        <f t="shared" si="3"/>
        <v>0</v>
      </c>
      <c r="V51" s="48">
        <f t="shared" si="8"/>
      </c>
    </row>
    <row r="52" spans="1:22" ht="13.5">
      <c r="A52" s="52">
        <v>48</v>
      </c>
      <c r="B52" s="209">
        <f t="shared" si="2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4"/>
      </c>
      <c r="M52" s="36"/>
      <c r="N52" s="37"/>
      <c r="O52" s="38"/>
      <c r="P52" s="53"/>
      <c r="Q52" s="43">
        <f t="shared" si="0"/>
      </c>
      <c r="R52" s="44">
        <f t="shared" si="5"/>
        <v>0</v>
      </c>
      <c r="S52" s="45">
        <f t="shared" si="6"/>
        <v>0</v>
      </c>
      <c r="T52" s="46">
        <f t="shared" si="7"/>
        <v>0</v>
      </c>
      <c r="U52" s="47">
        <f t="shared" si="3"/>
        <v>0</v>
      </c>
      <c r="V52" s="48">
        <f t="shared" si="8"/>
      </c>
    </row>
    <row r="53" spans="1:22" ht="13.5">
      <c r="A53" s="60">
        <v>49</v>
      </c>
      <c r="B53" s="210">
        <f t="shared" si="2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4"/>
      </c>
      <c r="M53" s="198"/>
      <c r="N53" s="64"/>
      <c r="O53" s="199"/>
      <c r="P53" s="200"/>
      <c r="Q53" s="69">
        <f t="shared" si="0"/>
      </c>
      <c r="R53" s="70">
        <f t="shared" si="5"/>
        <v>0</v>
      </c>
      <c r="S53" s="71">
        <f t="shared" si="6"/>
        <v>0</v>
      </c>
      <c r="T53" s="72">
        <f t="shared" si="7"/>
        <v>0</v>
      </c>
      <c r="U53" s="73">
        <f t="shared" si="3"/>
        <v>0</v>
      </c>
      <c r="V53" s="74">
        <f t="shared" si="8"/>
      </c>
    </row>
    <row r="54" spans="1:22" ht="13.5">
      <c r="A54" s="33">
        <v>50</v>
      </c>
      <c r="B54" s="211">
        <f t="shared" si="2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4"/>
      </c>
      <c r="M54" s="181"/>
      <c r="N54" s="40"/>
      <c r="O54" s="41"/>
      <c r="P54" s="42"/>
      <c r="Q54" s="43">
        <f t="shared" si="0"/>
      </c>
      <c r="R54" s="44">
        <f t="shared" si="5"/>
        <v>0</v>
      </c>
      <c r="S54" s="45">
        <f t="shared" si="6"/>
        <v>0</v>
      </c>
      <c r="T54" s="46">
        <f t="shared" si="7"/>
        <v>0</v>
      </c>
      <c r="U54" s="47">
        <f t="shared" si="3"/>
        <v>0</v>
      </c>
      <c r="V54" s="48">
        <f t="shared" si="8"/>
      </c>
    </row>
    <row r="55" spans="1:22" ht="13.5">
      <c r="A55" s="52">
        <v>51</v>
      </c>
      <c r="B55" s="209">
        <f t="shared" si="2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4"/>
      </c>
      <c r="M55" s="36"/>
      <c r="N55" s="37"/>
      <c r="O55" s="38"/>
      <c r="P55" s="53"/>
      <c r="Q55" s="43">
        <f t="shared" si="0"/>
      </c>
      <c r="R55" s="44">
        <f t="shared" si="5"/>
        <v>0</v>
      </c>
      <c r="S55" s="45">
        <f t="shared" si="6"/>
        <v>0</v>
      </c>
      <c r="T55" s="46">
        <f t="shared" si="7"/>
        <v>0</v>
      </c>
      <c r="U55" s="47">
        <f t="shared" si="3"/>
        <v>0</v>
      </c>
      <c r="V55" s="48">
        <f t="shared" si="8"/>
      </c>
    </row>
    <row r="56" spans="1:22" ht="13.5">
      <c r="A56" s="52">
        <v>52</v>
      </c>
      <c r="B56" s="209">
        <f t="shared" si="2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4"/>
      </c>
      <c r="M56" s="36"/>
      <c r="N56" s="37"/>
      <c r="O56" s="38"/>
      <c r="P56" s="53"/>
      <c r="Q56" s="43">
        <f t="shared" si="0"/>
      </c>
      <c r="R56" s="44">
        <f t="shared" si="5"/>
        <v>0</v>
      </c>
      <c r="S56" s="45">
        <f t="shared" si="6"/>
        <v>0</v>
      </c>
      <c r="T56" s="46">
        <f t="shared" si="7"/>
        <v>0</v>
      </c>
      <c r="U56" s="47">
        <f t="shared" si="3"/>
        <v>0</v>
      </c>
      <c r="V56" s="48">
        <f t="shared" si="8"/>
      </c>
    </row>
    <row r="57" spans="1:22" ht="13.5">
      <c r="A57" s="52">
        <v>53</v>
      </c>
      <c r="B57" s="209">
        <f t="shared" si="2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4"/>
      </c>
      <c r="M57" s="36"/>
      <c r="N57" s="37"/>
      <c r="O57" s="38"/>
      <c r="P57" s="53"/>
      <c r="Q57" s="43">
        <f t="shared" si="0"/>
      </c>
      <c r="R57" s="44">
        <f t="shared" si="5"/>
        <v>0</v>
      </c>
      <c r="S57" s="45">
        <f t="shared" si="6"/>
        <v>0</v>
      </c>
      <c r="T57" s="46">
        <f t="shared" si="7"/>
        <v>0</v>
      </c>
      <c r="U57" s="47">
        <f t="shared" si="3"/>
        <v>0</v>
      </c>
      <c r="V57" s="48">
        <f t="shared" si="8"/>
      </c>
    </row>
    <row r="58" spans="1:22" ht="13.5">
      <c r="A58" s="52">
        <v>54</v>
      </c>
      <c r="B58" s="209">
        <f t="shared" si="2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4"/>
      </c>
      <c r="M58" s="36"/>
      <c r="N58" s="37"/>
      <c r="O58" s="38"/>
      <c r="P58" s="53"/>
      <c r="Q58" s="43">
        <f t="shared" si="0"/>
      </c>
      <c r="R58" s="44">
        <f t="shared" si="5"/>
        <v>0</v>
      </c>
      <c r="S58" s="45">
        <f t="shared" si="6"/>
        <v>0</v>
      </c>
      <c r="T58" s="46">
        <f t="shared" si="7"/>
        <v>0</v>
      </c>
      <c r="U58" s="47">
        <f t="shared" si="3"/>
        <v>0</v>
      </c>
      <c r="V58" s="48">
        <f t="shared" si="8"/>
      </c>
    </row>
    <row r="59" spans="1:22" ht="13.5">
      <c r="A59" s="52">
        <v>55</v>
      </c>
      <c r="B59" s="209">
        <f t="shared" si="2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4"/>
      </c>
      <c r="M59" s="36"/>
      <c r="N59" s="37"/>
      <c r="O59" s="38"/>
      <c r="P59" s="53"/>
      <c r="Q59" s="43">
        <f t="shared" si="0"/>
      </c>
      <c r="R59" s="44">
        <f t="shared" si="5"/>
        <v>0</v>
      </c>
      <c r="S59" s="45">
        <f t="shared" si="6"/>
        <v>0</v>
      </c>
      <c r="T59" s="46">
        <f t="shared" si="7"/>
        <v>0</v>
      </c>
      <c r="U59" s="47">
        <f t="shared" si="3"/>
        <v>0</v>
      </c>
      <c r="V59" s="48">
        <f t="shared" si="8"/>
      </c>
    </row>
    <row r="60" spans="1:22" ht="13.5">
      <c r="A60" s="52">
        <v>56</v>
      </c>
      <c r="B60" s="209">
        <f t="shared" si="2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4"/>
      </c>
      <c r="M60" s="36"/>
      <c r="N60" s="37"/>
      <c r="O60" s="38"/>
      <c r="P60" s="53"/>
      <c r="Q60" s="43">
        <f t="shared" si="0"/>
      </c>
      <c r="R60" s="44">
        <f t="shared" si="5"/>
        <v>0</v>
      </c>
      <c r="S60" s="45">
        <f t="shared" si="6"/>
        <v>0</v>
      </c>
      <c r="T60" s="46">
        <f t="shared" si="7"/>
        <v>0</v>
      </c>
      <c r="U60" s="47">
        <f t="shared" si="3"/>
        <v>0</v>
      </c>
      <c r="V60" s="48">
        <f t="shared" si="8"/>
      </c>
    </row>
    <row r="61" spans="1:22" ht="13.5">
      <c r="A61" s="52">
        <v>57</v>
      </c>
      <c r="B61" s="209">
        <f t="shared" si="2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4"/>
      </c>
      <c r="M61" s="36"/>
      <c r="N61" s="37"/>
      <c r="O61" s="38"/>
      <c r="P61" s="53"/>
      <c r="Q61" s="43">
        <f t="shared" si="0"/>
      </c>
      <c r="R61" s="44">
        <f t="shared" si="5"/>
        <v>0</v>
      </c>
      <c r="S61" s="45">
        <f t="shared" si="6"/>
        <v>0</v>
      </c>
      <c r="T61" s="46">
        <f t="shared" si="7"/>
        <v>0</v>
      </c>
      <c r="U61" s="47">
        <f t="shared" si="3"/>
        <v>0</v>
      </c>
      <c r="V61" s="48">
        <f t="shared" si="8"/>
      </c>
    </row>
    <row r="62" spans="1:22" ht="13.5">
      <c r="A62" s="52">
        <v>58</v>
      </c>
      <c r="B62" s="209">
        <f t="shared" si="2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4"/>
      </c>
      <c r="M62" s="36"/>
      <c r="N62" s="37"/>
      <c r="O62" s="38"/>
      <c r="P62" s="53"/>
      <c r="Q62" s="43">
        <f t="shared" si="0"/>
      </c>
      <c r="R62" s="44">
        <f t="shared" si="5"/>
        <v>0</v>
      </c>
      <c r="S62" s="45">
        <f t="shared" si="6"/>
        <v>0</v>
      </c>
      <c r="T62" s="46">
        <f t="shared" si="7"/>
        <v>0</v>
      </c>
      <c r="U62" s="47">
        <f t="shared" si="3"/>
        <v>0</v>
      </c>
      <c r="V62" s="48">
        <f t="shared" si="8"/>
      </c>
    </row>
    <row r="63" spans="1:22" ht="13.5">
      <c r="A63" s="52">
        <v>59</v>
      </c>
      <c r="B63" s="209">
        <f t="shared" si="2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4"/>
      </c>
      <c r="M63" s="36"/>
      <c r="N63" s="37"/>
      <c r="O63" s="38"/>
      <c r="P63" s="53"/>
      <c r="Q63" s="43">
        <f t="shared" si="0"/>
      </c>
      <c r="R63" s="44">
        <f t="shared" si="5"/>
        <v>0</v>
      </c>
      <c r="S63" s="45">
        <f t="shared" si="6"/>
        <v>0</v>
      </c>
      <c r="T63" s="46">
        <f t="shared" si="7"/>
        <v>0</v>
      </c>
      <c r="U63" s="47">
        <f t="shared" si="3"/>
        <v>0</v>
      </c>
      <c r="V63" s="48">
        <f t="shared" si="8"/>
      </c>
    </row>
    <row r="64" spans="1:22" ht="13.5">
      <c r="A64" s="52">
        <v>60</v>
      </c>
      <c r="B64" s="209">
        <f t="shared" si="2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4"/>
      </c>
      <c r="M64" s="36"/>
      <c r="N64" s="37"/>
      <c r="O64" s="38"/>
      <c r="P64" s="53"/>
      <c r="Q64" s="43">
        <f t="shared" si="0"/>
      </c>
      <c r="R64" s="44">
        <f t="shared" si="5"/>
        <v>0</v>
      </c>
      <c r="S64" s="45">
        <f t="shared" si="6"/>
        <v>0</v>
      </c>
      <c r="T64" s="46">
        <f t="shared" si="7"/>
        <v>0</v>
      </c>
      <c r="U64" s="47">
        <f t="shared" si="3"/>
        <v>0</v>
      </c>
      <c r="V64" s="48">
        <f t="shared" si="8"/>
      </c>
    </row>
    <row r="65" spans="1:22" ht="13.5">
      <c r="A65" s="52">
        <v>61</v>
      </c>
      <c r="B65" s="209">
        <f t="shared" si="2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4"/>
      </c>
      <c r="M65" s="36"/>
      <c r="N65" s="37"/>
      <c r="O65" s="38"/>
      <c r="P65" s="53"/>
      <c r="Q65" s="43">
        <f t="shared" si="0"/>
      </c>
      <c r="R65" s="44">
        <f t="shared" si="5"/>
        <v>0</v>
      </c>
      <c r="S65" s="45">
        <f t="shared" si="6"/>
        <v>0</v>
      </c>
      <c r="T65" s="46">
        <f t="shared" si="7"/>
        <v>0</v>
      </c>
      <c r="U65" s="47">
        <f t="shared" si="3"/>
        <v>0</v>
      </c>
      <c r="V65" s="48">
        <f t="shared" si="8"/>
      </c>
    </row>
    <row r="66" spans="1:22" ht="13.5">
      <c r="A66" s="52">
        <v>62</v>
      </c>
      <c r="B66" s="209">
        <f t="shared" si="2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4"/>
      </c>
      <c r="M66" s="36"/>
      <c r="N66" s="37"/>
      <c r="O66" s="38"/>
      <c r="P66" s="53"/>
      <c r="Q66" s="43">
        <f t="shared" si="0"/>
      </c>
      <c r="R66" s="44">
        <f t="shared" si="5"/>
        <v>0</v>
      </c>
      <c r="S66" s="45">
        <f t="shared" si="6"/>
        <v>0</v>
      </c>
      <c r="T66" s="46">
        <f t="shared" si="7"/>
        <v>0</v>
      </c>
      <c r="U66" s="47">
        <f t="shared" si="3"/>
        <v>0</v>
      </c>
      <c r="V66" s="48">
        <f t="shared" si="8"/>
      </c>
    </row>
    <row r="67" spans="1:22" ht="13.5">
      <c r="A67" s="52">
        <v>63</v>
      </c>
      <c r="B67" s="209">
        <f t="shared" si="2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4"/>
      </c>
      <c r="M67" s="36"/>
      <c r="N67" s="37"/>
      <c r="O67" s="38"/>
      <c r="P67" s="53"/>
      <c r="Q67" s="43">
        <f t="shared" si="0"/>
      </c>
      <c r="R67" s="44">
        <f t="shared" si="5"/>
        <v>0</v>
      </c>
      <c r="S67" s="45">
        <f t="shared" si="6"/>
        <v>0</v>
      </c>
      <c r="T67" s="46">
        <f t="shared" si="7"/>
        <v>0</v>
      </c>
      <c r="U67" s="47">
        <f t="shared" si="3"/>
        <v>0</v>
      </c>
      <c r="V67" s="48">
        <f t="shared" si="8"/>
      </c>
    </row>
    <row r="68" spans="1:22" ht="13.5">
      <c r="A68" s="52">
        <v>64</v>
      </c>
      <c r="B68" s="209">
        <f t="shared" si="2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4"/>
      </c>
      <c r="M68" s="36"/>
      <c r="N68" s="37"/>
      <c r="O68" s="38"/>
      <c r="P68" s="53"/>
      <c r="Q68" s="43">
        <f t="shared" si="0"/>
      </c>
      <c r="R68" s="44">
        <f t="shared" si="5"/>
        <v>0</v>
      </c>
      <c r="S68" s="45">
        <f t="shared" si="6"/>
        <v>0</v>
      </c>
      <c r="T68" s="46">
        <f t="shared" si="7"/>
        <v>0</v>
      </c>
      <c r="U68" s="47">
        <f t="shared" si="3"/>
        <v>0</v>
      </c>
      <c r="V68" s="48">
        <f t="shared" si="8"/>
      </c>
    </row>
    <row r="69" spans="1:22" ht="13.5">
      <c r="A69" s="52">
        <v>65</v>
      </c>
      <c r="B69" s="209">
        <f t="shared" si="2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2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7">
        <f>SUM(T5:T124)+SUM(U5:U124)</f>
        <v>4707</v>
      </c>
      <c r="U125" s="267"/>
      <c r="V125" s="77">
        <f>SUM(V5:V124)</f>
        <v>9021182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8" t="s">
        <v>34</v>
      </c>
      <c r="G128" s="269"/>
      <c r="H128" s="270"/>
      <c r="J128" s="271" t="s">
        <v>82</v>
      </c>
      <c r="K128" s="272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3"/>
      <c r="H129" s="274"/>
      <c r="J129" s="218" t="s">
        <v>109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61">
        <f>COUNTIF(H5:H124,"買い")</f>
        <v>13</v>
      </c>
      <c r="H130" s="262"/>
      <c r="J130" s="218" t="s">
        <v>110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61">
        <f>COUNTIF(H5:H124,"売り")</f>
        <v>12</v>
      </c>
      <c r="H131" s="262"/>
      <c r="J131" s="218" t="s">
        <v>111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61">
        <f>G130+G131</f>
        <v>25</v>
      </c>
      <c r="H132" s="262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61">
        <f>COUNTIF(Q5:Q124,"勝ち")</f>
        <v>25</v>
      </c>
      <c r="H133" s="262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3">
        <f>COUNTIF(Q5:Q124,"負け")</f>
        <v>0</v>
      </c>
      <c r="H134" s="264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3">
        <f>COUNTIF(Q5:Q124,"ドロー")</f>
        <v>0</v>
      </c>
      <c r="H135" s="264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3">
        <f>COUNTIF(Q5:Q124,"保留中")</f>
        <v>0</v>
      </c>
      <c r="H136" s="264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4">
        <f>SUMIF(Q5:Q124,"勝ち",V5:V124)</f>
        <v>9021182</v>
      </c>
      <c r="H137" s="255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6">
        <f>SUMIF(Q5:Q124,"負け",V5:V124)</f>
        <v>0</v>
      </c>
      <c r="H138" s="257"/>
      <c r="J138" s="258" t="s">
        <v>51</v>
      </c>
      <c r="K138" s="258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4">
        <f>G137+G138</f>
        <v>9021182</v>
      </c>
      <c r="H139" s="255"/>
      <c r="J139" s="201" t="s">
        <v>104</v>
      </c>
      <c r="K139" s="82">
        <f aca="true" t="shared" si="19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20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9">
        <f>G137/COUNTA(H5:H124)</f>
        <v>360847.28</v>
      </c>
      <c r="H140" s="260"/>
      <c r="J140" s="218" t="s">
        <v>108</v>
      </c>
      <c r="K140" s="82">
        <f t="shared" si="19"/>
        <v>25</v>
      </c>
      <c r="L140" s="82">
        <f>_xlfn.COUNTIFS($H$5:$H$124,"買い",$F$5:$F$124,J140)</f>
        <v>13</v>
      </c>
      <c r="M140" s="83">
        <f>_xlfn.COUNTIFS($F$5:$F$124,J140,$H$5:$H$124,"売り")</f>
        <v>12</v>
      </c>
      <c r="N140" s="84">
        <f t="shared" si="20"/>
        <v>4707</v>
      </c>
      <c r="O140" s="160">
        <f>_xlfn.COUNTIFS($Q$5:$Q$124,"勝ち",$F$5:$F$124,J140)/(COUNTIF($F$5:$F$124,J140)-_xlfn.COUNTIFS($F$5:$F$124,J140,$Q$5:$Q$124,"ドロー"))*100</f>
        <v>100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9">
        <f>G139/COUNTA(H5:H124)</f>
        <v>360847.28</v>
      </c>
      <c r="H141" s="260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8"/>
      <c r="H142" s="249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8"/>
      <c r="H143" s="249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50">
        <f>MAX(T5:T124)</f>
        <v>531</v>
      </c>
      <c r="H144" s="251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52">
        <f>G133/(G132-G135)</f>
        <v>1</v>
      </c>
      <c r="H145" s="253"/>
      <c r="J145" s="85" t="s">
        <v>33</v>
      </c>
      <c r="K145" s="86">
        <f>SUM(K139:K144)</f>
        <v>25</v>
      </c>
      <c r="L145" s="86">
        <f>SUM(L139:L144)</f>
        <v>13</v>
      </c>
      <c r="M145" s="86">
        <f>SUM(M139:M144)</f>
        <v>12</v>
      </c>
      <c r="N145" s="80">
        <f>SUM(N139:N144)</f>
        <v>4707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5:E5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2015-08-13T21:07:23Z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