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176" yWindow="555" windowWidth="28335" windowHeight="10830" activeTab="1"/>
  </bookViews>
  <sheets>
    <sheet name="ルール＆合計" sheetId="1" r:id="rId1"/>
    <sheet name="検証データ" sheetId="2" r:id="rId2"/>
    <sheet name="画像" sheetId="3" r:id="rId3"/>
    <sheet name="気づき" sheetId="4" r:id="rId4"/>
  </sheets>
  <definedNames/>
  <calcPr fullCalcOnLoad="1"/>
</workbook>
</file>

<file path=xl/sharedStrings.xml><?xml version="1.0" encoding="utf-8"?>
<sst xmlns="http://schemas.openxmlformats.org/spreadsheetml/2006/main" count="149" uniqueCount="101">
  <si>
    <t>※入力</t>
  </si>
  <si>
    <t>初期資金</t>
  </si>
  <si>
    <t>スタート日</t>
  </si>
  <si>
    <t>現在資金</t>
  </si>
  <si>
    <t>損切り</t>
  </si>
  <si>
    <t>資金増減</t>
  </si>
  <si>
    <t>トータル集計</t>
  </si>
  <si>
    <t>集計</t>
  </si>
  <si>
    <t>利益合計</t>
  </si>
  <si>
    <t>損失合計</t>
  </si>
  <si>
    <t>損益</t>
  </si>
  <si>
    <t>利益トレード
回数</t>
  </si>
  <si>
    <t>損失トレード
回数</t>
  </si>
  <si>
    <t>総トレード
回数</t>
  </si>
  <si>
    <t>勝率</t>
  </si>
  <si>
    <t>平均利益</t>
  </si>
  <si>
    <t>平均損失</t>
  </si>
  <si>
    <t>平均利益
/平均損失</t>
  </si>
  <si>
    <t>総利益
/総損失(PF)</t>
  </si>
  <si>
    <t>2014年　　合計</t>
  </si>
  <si>
    <t>※リスクリワードレシオ</t>
  </si>
  <si>
    <t>※プロフィットファクター</t>
  </si>
  <si>
    <t>売買</t>
  </si>
  <si>
    <t>時間足</t>
  </si>
  <si>
    <t>エントリー日時</t>
  </si>
  <si>
    <t>エントリー価格</t>
  </si>
  <si>
    <t>決済日時</t>
  </si>
  <si>
    <t>決済価格</t>
  </si>
  <si>
    <t>合計</t>
  </si>
  <si>
    <t>トレード詳細データ</t>
  </si>
  <si>
    <t>通貨ペア別エントリー回数</t>
  </si>
  <si>
    <t>Sell</t>
  </si>
  <si>
    <t>トレード期間</t>
  </si>
  <si>
    <t>買いエントリー回数</t>
  </si>
  <si>
    <t>売りエントリー回数</t>
  </si>
  <si>
    <t>合計トレード回数</t>
  </si>
  <si>
    <t>合計勝ち数</t>
  </si>
  <si>
    <t>合計負け数</t>
  </si>
  <si>
    <t>引き分け</t>
  </si>
  <si>
    <t>保留</t>
  </si>
  <si>
    <t>合計利益</t>
  </si>
  <si>
    <t>合計損失</t>
  </si>
  <si>
    <t>合計損益</t>
  </si>
  <si>
    <t>最大連勝数</t>
  </si>
  <si>
    <t>最大連敗数</t>
  </si>
  <si>
    <t>最大DD(pips)</t>
  </si>
  <si>
    <t>エントリー手法別エントリー回数</t>
  </si>
  <si>
    <t>損益pips</t>
  </si>
  <si>
    <t>リベンジャーズ</t>
  </si>
  <si>
    <t>PAリベンジャーズ</t>
  </si>
  <si>
    <t>TJK</t>
  </si>
  <si>
    <t>HIS +1010</t>
  </si>
  <si>
    <t>RF +1010</t>
  </si>
  <si>
    <t>１．今、のあなたの現状を書いてください。</t>
  </si>
  <si>
    <t>（投資歴はどれくらいなのか、現状は勝てているのか負けているか？など）</t>
  </si>
  <si>
    <t>気づき：</t>
  </si>
  <si>
    <t>ロスカット幅(pips)</t>
  </si>
  <si>
    <t>万通貨</t>
  </si>
  <si>
    <t>現合計</t>
  </si>
  <si>
    <t>1pips(円)</t>
  </si>
  <si>
    <t>結果資金</t>
  </si>
  <si>
    <t>ストップ設定価格</t>
  </si>
  <si>
    <t>ロット</t>
  </si>
  <si>
    <t>買</t>
  </si>
  <si>
    <t>損益金額　</t>
  </si>
  <si>
    <t>損失上限</t>
  </si>
  <si>
    <t>時間足</t>
  </si>
  <si>
    <t>通貨ペア</t>
  </si>
  <si>
    <t>右側円の場合=100</t>
  </si>
  <si>
    <t>ドル円レート=今のレート</t>
  </si>
  <si>
    <t>USD/JPY、EUR/JPY</t>
  </si>
  <si>
    <t>EUR/USD、GBP/USD</t>
  </si>
  <si>
    <t>ロス(％)</t>
  </si>
  <si>
    <t>現在のドル円レート</t>
  </si>
  <si>
    <t>決済ルール</t>
  </si>
  <si>
    <t>60分</t>
  </si>
  <si>
    <t>売</t>
  </si>
  <si>
    <t>USD/JPY</t>
  </si>
  <si>
    <t>損益pips</t>
  </si>
  <si>
    <t>サポレジ＋EB＋PB</t>
  </si>
  <si>
    <t>EB、,PBでたらストップを移動していく</t>
  </si>
  <si>
    <t>・２０pipで建値ストップ！！</t>
  </si>
  <si>
    <t>仕掛け２</t>
  </si>
  <si>
    <t>・ピンバー、MA触るかまたぐ&amp;両方上にある状態</t>
  </si>
  <si>
    <t>日足</t>
  </si>
  <si>
    <t>約二年間の検証となりましたが、</t>
  </si>
  <si>
    <t>利益は３０％の結果でした。</t>
  </si>
  <si>
    <t>先ほど60分でEBの検証を20個やったときは</t>
  </si>
  <si>
    <t>EBはいくつもありましたが、判断に迷うものが多く</t>
  </si>
  <si>
    <t>基本の形のみにしようと決めて挑んだ今回の日足検証でしたが、</t>
  </si>
  <si>
    <t>かなりトレードチャンスが減った印象です。</t>
  </si>
  <si>
    <t>EB検証を経て、現状、PBの方がわかりやすく利益率や勝率もそんなに変わらなかったので</t>
  </si>
  <si>
    <t>PBの方が好きになりました。</t>
  </si>
  <si>
    <t>80％の利益で今回とかなり差があり、今後検証を続けていく上で原因が気づけるようにしようと思います。</t>
  </si>
  <si>
    <t>※日足ということもあるからでしょうか。</t>
  </si>
  <si>
    <t>EBは判断するのに時間がかかっり間違えやすいので、</t>
  </si>
  <si>
    <t>これも数をこなして性格に早く見えるようになればとは思います。</t>
  </si>
  <si>
    <t>次は別の通貨でEBの検証をして、</t>
  </si>
  <si>
    <t>そのあと、検証結果をもとにフィルターを入れたらどうなるか？</t>
  </si>
  <si>
    <t>という検証に移りたいと思います。</t>
  </si>
  <si>
    <t>宜しくお願いします！</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</si>
</sst>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0_ "/>
    <numFmt numFmtId="190" formatCode="0_ "/>
    <numFmt numFmtId="191" formatCode="#,##0.0;#,##0.0"/>
    <numFmt numFmtId="192" formatCode="#,##0;#,##0"/>
    <numFmt numFmtId="193" formatCode="0.0;[Red]0.0"/>
    <numFmt numFmtId="194" formatCode="0_);\(0\)"/>
    <numFmt numFmtId="195" formatCode="0.00;[Red]0.00"/>
    <numFmt numFmtId="196" formatCode="#,##0.00;#,##0.00"/>
    <numFmt numFmtId="197" formatCode="#,##0.0_ "/>
    <numFmt numFmtId="198" formatCode="0_ ;[Red]\-0\ "/>
    <numFmt numFmtId="199" formatCode="0;&quot;△ &quot;0"/>
    <numFmt numFmtId="200" formatCode="#,##0;&quot;▲ &quot;#,##0"/>
    <numFmt numFmtId="201" formatCode="#,##0_ "/>
    <numFmt numFmtId="202" formatCode="###,000;###,000"/>
    <numFmt numFmtId="203" formatCode="0.0_ ;[Red]\-0.0\ "/>
    <numFmt numFmtId="204" formatCode="0.000_ "/>
    <numFmt numFmtId="205" formatCode="#,##0;[Red]#,##0"/>
    <numFmt numFmtId="206" formatCode="0.000&quot; &quot;"/>
    <numFmt numFmtId="207" formatCode="#,##0.0;[Red]\-#,##0.0"/>
    <numFmt numFmtId="208" formatCode="&quot;Yes&quot;;&quot;Yes&quot;;&quot;No&quot;"/>
    <numFmt numFmtId="209" formatCode="&quot;True&quot;;&quot;True&quot;;&quot;False&quot;"/>
    <numFmt numFmtId="210" formatCode="&quot;On&quot;;&quot;On&quot;;&quot;Off&quot;"/>
    <numFmt numFmtId="211" formatCode="[$€-2]\ #,##0.00_);[Red]\([$€-2]\ #,##0.00\)"/>
    <numFmt numFmtId="212" formatCode="mmm\-yyyy"/>
    <numFmt numFmtId="213" formatCode="#,##0.0_ ;[Red]\-#,##0.0\ "/>
  </numFmts>
  <fonts count="53">
    <font>
      <sz val="11"/>
      <color indexed="8"/>
      <name val="ＭＳ Ｐゴシック"/>
      <family val="3"/>
    </font>
    <font>
      <sz val="11"/>
      <name val="ＭＳ Ｐゴシック"/>
      <family val="3"/>
    </font>
    <font>
      <b/>
      <sz val="11"/>
      <color indexed="8"/>
      <name val="ＭＳ Ｐゴシック"/>
      <family val="3"/>
    </font>
    <font>
      <sz val="11"/>
      <color indexed="9"/>
      <name val="ＭＳ Ｐゴシック"/>
      <family val="3"/>
    </font>
    <font>
      <b/>
      <sz val="12"/>
      <color indexed="8"/>
      <name val="ＭＳ Ｐゴシック"/>
      <family val="3"/>
    </font>
    <font>
      <sz val="12"/>
      <color indexed="8"/>
      <name val="ＭＳ Ｐゴシック"/>
      <family val="3"/>
    </font>
    <font>
      <sz val="12"/>
      <name val="MS PGothic"/>
      <family val="3"/>
    </font>
    <font>
      <sz val="9"/>
      <name val="ＭＳ Ｐゴシック"/>
      <family val="3"/>
    </font>
    <font>
      <b/>
      <sz val="12"/>
      <name val="ＭＳ Ｐゴシック"/>
      <family val="3"/>
    </font>
    <font>
      <sz val="12"/>
      <name val="ＭＳ Ｐゴシック"/>
      <family val="3"/>
    </font>
    <font>
      <sz val="6"/>
      <name val="ＭＳ Ｐゴシック"/>
      <family val="3"/>
    </font>
    <font>
      <b/>
      <sz val="11"/>
      <color indexed="9"/>
      <name val="ＭＳ Ｐゴシック"/>
      <family val="3"/>
    </font>
    <font>
      <sz val="18"/>
      <color indexed="54"/>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49"/>
      <name val="ＭＳ Ｐゴシック"/>
      <family val="3"/>
    </font>
    <font>
      <b/>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sz val="11"/>
      <color theme="4" tint="-0.24997000396251678"/>
      <name val="ＭＳ Ｐゴシック"/>
      <family val="3"/>
    </font>
    <font>
      <sz val="11"/>
      <color rgb="FFFF0000"/>
      <name val="ＭＳ Ｐゴシック"/>
      <family val="3"/>
    </font>
    <font>
      <b/>
      <sz val="11"/>
      <color rgb="FF006100"/>
      <name val="Calibri"/>
      <family val="3"/>
    </font>
    <font>
      <b/>
      <sz val="11"/>
      <color rgb="FF00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FFB7B7"/>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color indexed="63"/>
      </top>
      <bottom>
        <color indexed="63"/>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color indexed="63"/>
      </right>
      <top style="thin"/>
      <bottom style="thin"/>
    </border>
    <border>
      <left style="thin"/>
      <right style="medium"/>
      <top style="medium"/>
      <bottom style="thin"/>
    </border>
    <border>
      <left style="thin"/>
      <right>
        <color indexed="63"/>
      </right>
      <top style="medium"/>
      <bottom style="thin"/>
    </border>
    <border>
      <left style="thin"/>
      <right>
        <color indexed="63"/>
      </right>
      <top style="medium"/>
      <bottom style="medium"/>
    </border>
    <border>
      <left style="thin"/>
      <right style="medium"/>
      <top style="medium"/>
      <bottom style="medium"/>
    </border>
    <border>
      <left style="thin"/>
      <right style="thin"/>
      <top style="thin"/>
      <bottom style="thin"/>
    </border>
    <border>
      <left style="medium"/>
      <right style="thin"/>
      <top style="thin"/>
      <bottom>
        <color indexed="63"/>
      </bottom>
    </border>
    <border>
      <left style="thin"/>
      <right>
        <color indexed="63"/>
      </right>
      <top style="thin"/>
      <bottom>
        <color indexed="63"/>
      </bottom>
    </border>
    <border>
      <left style="medium"/>
      <right style="medium"/>
      <top style="medium"/>
      <bottom style="medium"/>
    </border>
    <border>
      <left style="medium"/>
      <right style="thin"/>
      <top>
        <color indexed="63"/>
      </top>
      <bottom style="medium"/>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double">
        <color indexed="60"/>
      </bottom>
    </border>
    <border>
      <left>
        <color indexed="63"/>
      </left>
      <right style="dotted"/>
      <top style="medium"/>
      <bottom>
        <color indexed="63"/>
      </bottom>
    </border>
    <border>
      <left style="dotted"/>
      <right style="dotted"/>
      <top style="medium"/>
      <bottom>
        <color indexed="63"/>
      </bottom>
    </border>
    <border>
      <left style="dotted"/>
      <right style="medium"/>
      <top style="medium"/>
      <bottom>
        <color indexed="63"/>
      </bottom>
    </border>
    <border>
      <left>
        <color indexed="63"/>
      </left>
      <right style="thin"/>
      <top style="medium"/>
      <bottom style="medium"/>
    </border>
    <border>
      <left style="dotted"/>
      <right>
        <color indexed="63"/>
      </right>
      <top style="medium"/>
      <bottom>
        <color indexed="63"/>
      </bottom>
    </border>
    <border>
      <left style="thin"/>
      <right style="dashed"/>
      <top style="thin"/>
      <bottom style="thin"/>
    </border>
    <border>
      <left style="dashed"/>
      <right style="dashed"/>
      <top style="thin"/>
      <bottom style="thin"/>
    </border>
    <border>
      <left>
        <color indexed="63"/>
      </left>
      <right style="thin"/>
      <top style="thin"/>
      <bottom style="thin"/>
    </border>
    <border>
      <left style="thin"/>
      <right style="dashed"/>
      <top style="thin"/>
      <bottom style="double">
        <color indexed="60"/>
      </bottom>
    </border>
    <border>
      <left style="dashed"/>
      <right style="dashed"/>
      <top style="thin"/>
      <bottom style="double">
        <color indexed="60"/>
      </bottom>
    </border>
    <border>
      <left>
        <color indexed="63"/>
      </left>
      <right style="thin"/>
      <top style="thin"/>
      <bottom style="double">
        <color indexed="60"/>
      </bottom>
    </border>
    <border>
      <left style="thin"/>
      <right>
        <color indexed="63"/>
      </right>
      <top>
        <color indexed="63"/>
      </top>
      <bottom style="thin"/>
    </border>
    <border>
      <left style="thin"/>
      <right style="dashed"/>
      <top>
        <color indexed="63"/>
      </top>
      <bottom style="thin"/>
    </border>
    <border>
      <left style="dashed"/>
      <right style="dashed"/>
      <top>
        <color indexed="63"/>
      </top>
      <bottom style="thin"/>
    </border>
    <border>
      <left style="dashed"/>
      <right style="dashed"/>
      <top style="double">
        <color indexed="60"/>
      </top>
      <bottom style="thin"/>
    </border>
    <border>
      <left style="dashed"/>
      <right style="thin"/>
      <top style="double">
        <color indexed="60"/>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medium"/>
    </border>
    <border>
      <left style="thin"/>
      <right style="thin"/>
      <top style="thin"/>
      <bottom style="medium"/>
    </border>
    <border>
      <left style="medium"/>
      <right style="thin"/>
      <top style="medium"/>
      <bottom style="thin"/>
    </border>
    <border>
      <left>
        <color indexed="63"/>
      </left>
      <right>
        <color indexed="63"/>
      </right>
      <top style="thin"/>
      <bottom style="thin"/>
    </border>
    <border>
      <left style="thin"/>
      <right style="thin"/>
      <top style="medium"/>
      <bottom style="thin"/>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double"/>
    </border>
    <border>
      <left>
        <color indexed="63"/>
      </left>
      <right>
        <color indexed="63"/>
      </right>
      <top>
        <color indexed="63"/>
      </top>
      <bottom style="double"/>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color indexed="60"/>
      </left>
      <right style="medium">
        <color indexed="60"/>
      </right>
      <top style="medium">
        <color indexed="60"/>
      </top>
      <bottom style="medium">
        <color indexed="60"/>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mediu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186">
    <xf numFmtId="0" fontId="0" fillId="0" borderId="0" xfId="0" applyAlignment="1">
      <alignment vertical="center"/>
    </xf>
    <xf numFmtId="0" fontId="0" fillId="0" borderId="10" xfId="0" applyNumberFormat="1" applyFont="1" applyFill="1" applyBorder="1" applyAlignment="1" applyProtection="1">
      <alignment vertical="center"/>
      <protection/>
    </xf>
    <xf numFmtId="0" fontId="0" fillId="0" borderId="11" xfId="0" applyNumberFormat="1" applyFont="1" applyFill="1" applyBorder="1" applyAlignment="1" applyProtection="1">
      <alignment vertical="center"/>
      <protection/>
    </xf>
    <xf numFmtId="0" fontId="0" fillId="0" borderId="12" xfId="0" applyNumberFormat="1" applyFont="1" applyFill="1" applyBorder="1" applyAlignment="1" applyProtection="1">
      <alignment vertical="center"/>
      <protection/>
    </xf>
    <xf numFmtId="0" fontId="0" fillId="0" borderId="13" xfId="0" applyNumberFormat="1" applyFont="1" applyFill="1" applyBorder="1" applyAlignment="1" applyProtection="1">
      <alignment vertical="center"/>
      <protection/>
    </xf>
    <xf numFmtId="0" fontId="0"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3" fillId="33" borderId="20" xfId="0" applyNumberFormat="1" applyFont="1" applyFill="1" applyBorder="1" applyAlignment="1" applyProtection="1">
      <alignment horizontal="center" vertical="center"/>
      <protection/>
    </xf>
    <xf numFmtId="0" fontId="3" fillId="33" borderId="21"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vertical="center"/>
      <protection/>
    </xf>
    <xf numFmtId="0" fontId="0" fillId="0" borderId="23" xfId="0" applyNumberFormat="1" applyFont="1" applyFill="1" applyBorder="1" applyAlignment="1" applyProtection="1">
      <alignment vertical="center"/>
      <protection/>
    </xf>
    <xf numFmtId="0" fontId="0" fillId="0" borderId="2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vertical="center"/>
      <protection/>
    </xf>
    <xf numFmtId="0" fontId="0" fillId="0" borderId="25" xfId="0" applyNumberFormat="1" applyFont="1" applyFill="1" applyBorder="1" applyAlignment="1" applyProtection="1">
      <alignment vertical="center"/>
      <protection/>
    </xf>
    <xf numFmtId="0" fontId="0" fillId="0" borderId="25" xfId="0" applyNumberFormat="1" applyFont="1" applyFill="1" applyBorder="1" applyAlignment="1" applyProtection="1">
      <alignment horizontal="center" vertical="center"/>
      <protection/>
    </xf>
    <xf numFmtId="0" fontId="4" fillId="0" borderId="0" xfId="62" applyNumberFormat="1" applyFont="1" applyFill="1" applyBorder="1" applyAlignment="1" applyProtection="1">
      <alignment vertical="center"/>
      <protection/>
    </xf>
    <xf numFmtId="0" fontId="4" fillId="34" borderId="26" xfId="62" applyNumberFormat="1" applyFont="1" applyFill="1" applyBorder="1" applyAlignment="1" applyProtection="1">
      <alignment vertical="center"/>
      <protection/>
    </xf>
    <xf numFmtId="182" fontId="4" fillId="34" borderId="27" xfId="62" applyNumberFormat="1" applyFont="1" applyFill="1" applyBorder="1" applyAlignment="1" applyProtection="1">
      <alignment vertical="center"/>
      <protection/>
    </xf>
    <xf numFmtId="9" fontId="4" fillId="0" borderId="28" xfId="62" applyNumberFormat="1" applyFont="1" applyFill="1" applyBorder="1" applyAlignment="1" applyProtection="1">
      <alignment horizontal="center" vertical="center"/>
      <protection/>
    </xf>
    <xf numFmtId="5" fontId="4" fillId="0" borderId="21" xfId="62" applyNumberFormat="1" applyFont="1" applyFill="1" applyBorder="1" applyAlignment="1" applyProtection="1">
      <alignment horizontal="center" vertical="center"/>
      <protection/>
    </xf>
    <xf numFmtId="5" fontId="4" fillId="0" borderId="0" xfId="62" applyNumberFormat="1" applyFont="1" applyFill="1" applyBorder="1" applyAlignment="1" applyProtection="1">
      <alignment horizontal="center" vertical="center"/>
      <protection/>
    </xf>
    <xf numFmtId="6" fontId="4" fillId="34" borderId="27" xfId="62" applyNumberFormat="1" applyFont="1" applyFill="1" applyBorder="1" applyAlignment="1" applyProtection="1">
      <alignment vertical="center"/>
      <protection/>
    </xf>
    <xf numFmtId="6" fontId="4" fillId="0" borderId="29" xfId="62"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55" fontId="5" fillId="0" borderId="17" xfId="62" applyNumberFormat="1" applyFont="1" applyFill="1" applyBorder="1" applyAlignment="1" applyProtection="1">
      <alignment horizontal="center" vertical="center"/>
      <protection/>
    </xf>
    <xf numFmtId="55" fontId="0" fillId="0" borderId="17" xfId="0" applyNumberFormat="1" applyFont="1" applyFill="1" applyBorder="1" applyAlignment="1" applyProtection="1">
      <alignment horizontal="center" vertical="center"/>
      <protection/>
    </xf>
    <xf numFmtId="55" fontId="5" fillId="0" borderId="30" xfId="62" applyNumberFormat="1" applyFont="1" applyFill="1" applyBorder="1" applyAlignment="1" applyProtection="1">
      <alignment horizontal="center" vertical="center"/>
      <protection/>
    </xf>
    <xf numFmtId="0" fontId="4" fillId="34" borderId="31" xfId="62" applyNumberFormat="1" applyFont="1" applyFill="1" applyBorder="1" applyAlignment="1" applyProtection="1">
      <alignment horizontal="center" vertical="center"/>
      <protection/>
    </xf>
    <xf numFmtId="0" fontId="4" fillId="34" borderId="32" xfId="62" applyNumberFormat="1" applyFont="1" applyFill="1" applyBorder="1" applyAlignment="1" applyProtection="1">
      <alignment horizontal="center" vertical="center" wrapText="1"/>
      <protection/>
    </xf>
    <xf numFmtId="0" fontId="4" fillId="34" borderId="32" xfId="62" applyNumberFormat="1" applyFont="1" applyFill="1" applyBorder="1" applyAlignment="1" applyProtection="1">
      <alignment horizontal="center" vertical="center"/>
      <protection/>
    </xf>
    <xf numFmtId="182" fontId="4" fillId="34" borderId="32" xfId="62" applyNumberFormat="1" applyFont="1" applyFill="1" applyBorder="1" applyAlignment="1" applyProtection="1">
      <alignment horizontal="center" vertical="center" wrapText="1"/>
      <protection/>
    </xf>
    <xf numFmtId="183" fontId="4" fillId="34" borderId="32" xfId="62" applyNumberFormat="1" applyFont="1" applyFill="1" applyBorder="1" applyAlignment="1" applyProtection="1">
      <alignment horizontal="center" vertical="center"/>
      <protection/>
    </xf>
    <xf numFmtId="0" fontId="4" fillId="34" borderId="33" xfId="62" applyNumberFormat="1" applyFont="1" applyFill="1" applyBorder="1" applyAlignment="1" applyProtection="1">
      <alignment horizontal="center" vertical="center" wrapText="1"/>
      <protection/>
    </xf>
    <xf numFmtId="182" fontId="4" fillId="34" borderId="34" xfId="62" applyNumberFormat="1" applyFont="1" applyFill="1" applyBorder="1" applyAlignment="1" applyProtection="1">
      <alignment vertical="center"/>
      <protection/>
    </xf>
    <xf numFmtId="184" fontId="4" fillId="34" borderId="35" xfId="62" applyNumberFormat="1" applyFont="1" applyFill="1" applyBorder="1" applyAlignment="1" applyProtection="1">
      <alignment horizontal="center" vertical="center"/>
      <protection/>
    </xf>
    <xf numFmtId="184" fontId="5" fillId="0" borderId="36" xfId="62" applyNumberFormat="1" applyFont="1" applyFill="1" applyBorder="1" applyAlignment="1" applyProtection="1">
      <alignment horizontal="right" vertical="center"/>
      <protection/>
    </xf>
    <xf numFmtId="184" fontId="5" fillId="0" borderId="37" xfId="62" applyNumberFormat="1" applyFont="1" applyFill="1" applyBorder="1" applyAlignment="1" applyProtection="1">
      <alignment horizontal="right" vertical="center"/>
      <protection/>
    </xf>
    <xf numFmtId="185" fontId="5" fillId="0" borderId="37" xfId="62" applyNumberFormat="1" applyFont="1" applyFill="1" applyBorder="1" applyAlignment="1" applyProtection="1">
      <alignment horizontal="right" vertical="center"/>
      <protection/>
    </xf>
    <xf numFmtId="186" fontId="5" fillId="0" borderId="37" xfId="62" applyNumberFormat="1" applyFont="1" applyFill="1" applyBorder="1" applyAlignment="1" applyProtection="1">
      <alignment horizontal="right" vertical="center"/>
      <protection/>
    </xf>
    <xf numFmtId="187" fontId="5" fillId="0" borderId="37" xfId="62" applyNumberFormat="1" applyFont="1" applyFill="1" applyBorder="1" applyAlignment="1" applyProtection="1">
      <alignment vertical="center"/>
      <protection/>
    </xf>
    <xf numFmtId="184" fontId="5" fillId="0" borderId="37" xfId="62" applyNumberFormat="1" applyFont="1" applyFill="1" applyBorder="1" applyAlignment="1" applyProtection="1">
      <alignment vertical="center"/>
      <protection/>
    </xf>
    <xf numFmtId="181" fontId="5" fillId="0" borderId="37" xfId="62" applyNumberFormat="1" applyFont="1" applyFill="1" applyBorder="1" applyAlignment="1" applyProtection="1">
      <alignment vertical="center"/>
      <protection/>
    </xf>
    <xf numFmtId="181" fontId="5" fillId="0" borderId="38" xfId="62" applyNumberFormat="1" applyFont="1" applyFill="1" applyBorder="1" applyAlignment="1" applyProtection="1">
      <alignment vertical="center"/>
      <protection/>
    </xf>
    <xf numFmtId="184" fontId="0" fillId="0" borderId="36" xfId="0" applyNumberFormat="1" applyFont="1" applyFill="1" applyBorder="1" applyAlignment="1" applyProtection="1">
      <alignment vertical="center"/>
      <protection/>
    </xf>
    <xf numFmtId="184" fontId="0" fillId="0" borderId="37" xfId="0" applyNumberFormat="1" applyFont="1" applyFill="1" applyBorder="1" applyAlignment="1" applyProtection="1">
      <alignment vertical="center"/>
      <protection/>
    </xf>
    <xf numFmtId="0" fontId="0" fillId="0" borderId="37" xfId="0" applyNumberFormat="1" applyFont="1" applyFill="1" applyBorder="1" applyAlignment="1" applyProtection="1">
      <alignment vertical="center"/>
      <protection/>
    </xf>
    <xf numFmtId="184" fontId="0" fillId="0" borderId="39" xfId="0" applyNumberFormat="1" applyFont="1" applyFill="1" applyBorder="1" applyAlignment="1" applyProtection="1">
      <alignment vertical="center"/>
      <protection/>
    </xf>
    <xf numFmtId="184" fontId="0" fillId="0" borderId="40" xfId="0" applyNumberFormat="1" applyFont="1" applyFill="1" applyBorder="1" applyAlignment="1" applyProtection="1">
      <alignment vertical="center"/>
      <protection/>
    </xf>
    <xf numFmtId="0" fontId="0" fillId="0" borderId="40" xfId="0" applyNumberFormat="1" applyFont="1" applyFill="1" applyBorder="1" applyAlignment="1" applyProtection="1">
      <alignment vertical="center"/>
      <protection/>
    </xf>
    <xf numFmtId="185" fontId="5" fillId="0" borderId="40" xfId="62" applyNumberFormat="1" applyFont="1" applyFill="1" applyBorder="1" applyAlignment="1" applyProtection="1">
      <alignment horizontal="right" vertical="center"/>
      <protection/>
    </xf>
    <xf numFmtId="187" fontId="5" fillId="0" borderId="40" xfId="62" applyNumberFormat="1" applyFont="1" applyFill="1" applyBorder="1" applyAlignment="1" applyProtection="1">
      <alignment vertical="center"/>
      <protection/>
    </xf>
    <xf numFmtId="184" fontId="5" fillId="0" borderId="40" xfId="62" applyNumberFormat="1" applyFont="1" applyFill="1" applyBorder="1" applyAlignment="1" applyProtection="1">
      <alignment vertical="center"/>
      <protection/>
    </xf>
    <xf numFmtId="181" fontId="5" fillId="0" borderId="40" xfId="62" applyNumberFormat="1" applyFont="1" applyFill="1" applyBorder="1" applyAlignment="1" applyProtection="1">
      <alignment vertical="center"/>
      <protection/>
    </xf>
    <xf numFmtId="181" fontId="5" fillId="0" borderId="41" xfId="62" applyNumberFormat="1" applyFont="1" applyFill="1" applyBorder="1" applyAlignment="1" applyProtection="1">
      <alignment vertical="center"/>
      <protection/>
    </xf>
    <xf numFmtId="6" fontId="5" fillId="0" borderId="37" xfId="62" applyNumberFormat="1" applyFont="1" applyFill="1" applyBorder="1" applyAlignment="1" applyProtection="1">
      <alignment horizontal="right" vertical="center"/>
      <protection/>
    </xf>
    <xf numFmtId="6" fontId="5" fillId="0" borderId="40" xfId="62" applyNumberFormat="1" applyFont="1" applyFill="1" applyBorder="1" applyAlignment="1" applyProtection="1">
      <alignment horizontal="right" vertical="center"/>
      <protection/>
    </xf>
    <xf numFmtId="55" fontId="0" fillId="0" borderId="42" xfId="0" applyNumberFormat="1" applyFont="1" applyFill="1" applyBorder="1" applyAlignment="1" applyProtection="1">
      <alignment horizontal="center" vertical="center"/>
      <protection/>
    </xf>
    <xf numFmtId="5" fontId="1" fillId="0" borderId="43" xfId="0" applyNumberFormat="1" applyFont="1" applyFill="1" applyBorder="1" applyAlignment="1" applyProtection="1">
      <alignment vertical="center"/>
      <protection/>
    </xf>
    <xf numFmtId="184" fontId="1" fillId="0" borderId="44" xfId="0" applyNumberFormat="1" applyFont="1" applyFill="1" applyBorder="1" applyAlignment="1" applyProtection="1">
      <alignment vertical="center"/>
      <protection/>
    </xf>
    <xf numFmtId="6" fontId="1" fillId="0" borderId="44" xfId="0" applyNumberFormat="1" applyFont="1" applyFill="1" applyBorder="1" applyAlignment="1" applyProtection="1">
      <alignment vertical="center"/>
      <protection/>
    </xf>
    <xf numFmtId="186" fontId="1" fillId="0" borderId="44" xfId="0" applyNumberFormat="1" applyFont="1" applyFill="1" applyBorder="1" applyAlignment="1" applyProtection="1">
      <alignment vertical="center"/>
      <protection/>
    </xf>
    <xf numFmtId="185" fontId="1" fillId="0" borderId="44" xfId="0" applyNumberFormat="1" applyFont="1" applyFill="1" applyBorder="1" applyAlignment="1" applyProtection="1">
      <alignment vertical="center"/>
      <protection/>
    </xf>
    <xf numFmtId="187" fontId="6" fillId="0" borderId="44" xfId="0" applyNumberFormat="1" applyFont="1" applyFill="1" applyBorder="1" applyAlignment="1" applyProtection="1">
      <alignment vertical="center"/>
      <protection/>
    </xf>
    <xf numFmtId="181" fontId="1" fillId="0" borderId="45" xfId="0" applyNumberFormat="1" applyFont="1" applyFill="1" applyBorder="1" applyAlignment="1" applyProtection="1">
      <alignment vertical="center"/>
      <protection/>
    </xf>
    <xf numFmtId="181" fontId="1" fillId="0" borderId="46" xfId="0" applyNumberFormat="1" applyFont="1" applyFill="1" applyBorder="1" applyAlignment="1" applyProtection="1">
      <alignment vertical="center"/>
      <protection/>
    </xf>
    <xf numFmtId="0" fontId="0" fillId="0" borderId="47" xfId="0" applyNumberFormat="1" applyFont="1" applyFill="1" applyBorder="1" applyAlignment="1" applyProtection="1">
      <alignment vertical="center"/>
      <protection/>
    </xf>
    <xf numFmtId="0" fontId="7" fillId="0" borderId="38" xfId="0" applyNumberFormat="1" applyFont="1" applyFill="1" applyBorder="1" applyAlignment="1" applyProtection="1">
      <alignment vertical="center"/>
      <protection/>
    </xf>
    <xf numFmtId="0" fontId="4" fillId="35" borderId="0" xfId="62" applyNumberFormat="1" applyFont="1" applyFill="1" applyBorder="1" applyAlignment="1" applyProtection="1">
      <alignment vertical="center"/>
      <protection/>
    </xf>
    <xf numFmtId="5" fontId="4" fillId="35" borderId="0" xfId="62" applyNumberFormat="1" applyFont="1" applyFill="1" applyBorder="1" applyAlignment="1" applyProtection="1">
      <alignment horizontal="center" vertical="center"/>
      <protection/>
    </xf>
    <xf numFmtId="182" fontId="4" fillId="35" borderId="0" xfId="62" applyNumberFormat="1" applyFont="1" applyFill="1" applyBorder="1" applyAlignment="1" applyProtection="1">
      <alignment vertical="center"/>
      <protection/>
    </xf>
    <xf numFmtId="6" fontId="4" fillId="35" borderId="0" xfId="62" applyNumberFormat="1" applyFont="1" applyFill="1" applyBorder="1" applyAlignment="1" applyProtection="1">
      <alignment vertical="center"/>
      <protection/>
    </xf>
    <xf numFmtId="6" fontId="4" fillId="35" borderId="0" xfId="62" applyNumberFormat="1" applyFont="1" applyFill="1" applyBorder="1" applyAlignment="1" applyProtection="1">
      <alignment horizontal="center" vertical="center"/>
      <protection/>
    </xf>
    <xf numFmtId="0" fontId="0" fillId="35" borderId="0" xfId="0" applyNumberFormat="1" applyFont="1" applyFill="1" applyBorder="1" applyAlignment="1" applyProtection="1">
      <alignment vertical="center"/>
      <protection/>
    </xf>
    <xf numFmtId="0" fontId="4" fillId="35" borderId="48" xfId="62" applyNumberFormat="1" applyFont="1" applyFill="1" applyBorder="1" applyAlignment="1" applyProtection="1">
      <alignment vertical="center"/>
      <protection/>
    </xf>
    <xf numFmtId="5" fontId="4" fillId="35" borderId="48" xfId="62" applyNumberFormat="1" applyFont="1" applyFill="1" applyBorder="1" applyAlignment="1" applyProtection="1">
      <alignment horizontal="center" vertical="center"/>
      <protection/>
    </xf>
    <xf numFmtId="182" fontId="4" fillId="35" borderId="48" xfId="62" applyNumberFormat="1" applyFont="1" applyFill="1" applyBorder="1" applyAlignment="1" applyProtection="1">
      <alignment vertical="center"/>
      <protection/>
    </xf>
    <xf numFmtId="6" fontId="4" fillId="35" borderId="48" xfId="62" applyNumberFormat="1" applyFont="1" applyFill="1" applyBorder="1" applyAlignment="1" applyProtection="1">
      <alignment vertical="center"/>
      <protection/>
    </xf>
    <xf numFmtId="6" fontId="4" fillId="35" borderId="48" xfId="62" applyNumberFormat="1" applyFont="1" applyFill="1" applyBorder="1" applyAlignment="1" applyProtection="1">
      <alignment horizontal="center" vertical="center"/>
      <protection/>
    </xf>
    <xf numFmtId="0" fontId="0" fillId="35" borderId="48" xfId="0" applyNumberFormat="1" applyFont="1" applyFill="1" applyBorder="1" applyAlignment="1" applyProtection="1">
      <alignment vertical="center"/>
      <protection/>
    </xf>
    <xf numFmtId="0" fontId="0" fillId="0" borderId="48" xfId="0" applyNumberFormat="1" applyFont="1" applyFill="1" applyBorder="1" applyAlignment="1" applyProtection="1">
      <alignment vertical="center"/>
      <protection/>
    </xf>
    <xf numFmtId="0" fontId="0" fillId="0" borderId="49" xfId="0" applyNumberFormat="1" applyFont="1" applyFill="1" applyBorder="1" applyAlignment="1" applyProtection="1">
      <alignment vertical="center"/>
      <protection/>
    </xf>
    <xf numFmtId="5" fontId="5" fillId="36" borderId="49" xfId="62" applyNumberFormat="1" applyFont="1" applyFill="1" applyBorder="1" applyAlignment="1" applyProtection="1">
      <alignment horizontal="center"/>
      <protection/>
    </xf>
    <xf numFmtId="5" fontId="4" fillId="0" borderId="49" xfId="62" applyNumberFormat="1" applyFont="1" applyFill="1" applyBorder="1" applyAlignment="1" applyProtection="1">
      <alignment horizontal="center" vertical="center"/>
      <protection/>
    </xf>
    <xf numFmtId="0" fontId="4" fillId="0" borderId="49" xfId="62" applyNumberFormat="1" applyFont="1" applyFill="1" applyBorder="1" applyAlignment="1" applyProtection="1">
      <alignment/>
      <protection/>
    </xf>
    <xf numFmtId="5" fontId="5" fillId="36" borderId="50" xfId="62" applyNumberFormat="1" applyFont="1" applyFill="1" applyBorder="1" applyAlignment="1" applyProtection="1">
      <alignment horizontal="center"/>
      <protection/>
    </xf>
    <xf numFmtId="0" fontId="8" fillId="34" borderId="51" xfId="62" applyNumberFormat="1" applyFont="1" applyFill="1" applyBorder="1" applyAlignment="1" applyProtection="1">
      <alignment horizontal="center" vertical="center"/>
      <protection/>
    </xf>
    <xf numFmtId="5" fontId="8" fillId="35" borderId="48" xfId="62" applyNumberFormat="1" applyFont="1" applyFill="1" applyBorder="1" applyAlignment="1" applyProtection="1">
      <alignment horizontal="center" vertical="center"/>
      <protection/>
    </xf>
    <xf numFmtId="9" fontId="4" fillId="35" borderId="52" xfId="62" applyNumberFormat="1" applyFont="1" applyFill="1" applyBorder="1" applyAlignment="1" applyProtection="1">
      <alignment horizontal="center" vertical="center"/>
      <protection/>
    </xf>
    <xf numFmtId="5" fontId="5" fillId="36" borderId="53" xfId="62" applyNumberFormat="1" applyFont="1" applyFill="1" applyBorder="1" applyAlignment="1" applyProtection="1">
      <alignment horizontal="center"/>
      <protection/>
    </xf>
    <xf numFmtId="0" fontId="0" fillId="0" borderId="54" xfId="0" applyNumberFormat="1" applyFont="1" applyFill="1" applyBorder="1" applyAlignment="1" applyProtection="1">
      <alignment vertical="center"/>
      <protection/>
    </xf>
    <xf numFmtId="0" fontId="0" fillId="0" borderId="55" xfId="0" applyNumberFormat="1" applyFont="1" applyFill="1" applyBorder="1" applyAlignment="1" applyProtection="1">
      <alignment vertical="center"/>
      <protection/>
    </xf>
    <xf numFmtId="0" fontId="0" fillId="0" borderId="56" xfId="0" applyNumberFormat="1" applyFont="1" applyFill="1" applyBorder="1" applyAlignment="1" applyProtection="1">
      <alignment vertical="center"/>
      <protection/>
    </xf>
    <xf numFmtId="0" fontId="4" fillId="34" borderId="27" xfId="62"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1" fillId="0" borderId="0" xfId="63">
      <alignment vertical="center"/>
      <protection/>
    </xf>
    <xf numFmtId="0" fontId="1" fillId="0" borderId="57" xfId="63" applyBorder="1">
      <alignment vertical="center"/>
      <protection/>
    </xf>
    <xf numFmtId="0" fontId="1" fillId="0" borderId="58" xfId="63" applyBorder="1">
      <alignment vertical="center"/>
      <protection/>
    </xf>
    <xf numFmtId="0" fontId="1" fillId="0" borderId="59" xfId="63" applyBorder="1">
      <alignment vertical="center"/>
      <protection/>
    </xf>
    <xf numFmtId="0" fontId="1" fillId="0" borderId="60" xfId="63" applyBorder="1">
      <alignment vertical="center"/>
      <protection/>
    </xf>
    <xf numFmtId="0" fontId="1" fillId="0" borderId="0" xfId="63" applyBorder="1">
      <alignment vertical="center"/>
      <protection/>
    </xf>
    <xf numFmtId="0" fontId="3" fillId="33" borderId="61" xfId="0" applyNumberFormat="1" applyFont="1" applyFill="1" applyBorder="1" applyAlignment="1" applyProtection="1">
      <alignment horizontal="center" vertical="center"/>
      <protection/>
    </xf>
    <xf numFmtId="191" fontId="0" fillId="0" borderId="0" xfId="0" applyNumberFormat="1" applyAlignment="1">
      <alignment vertical="center"/>
    </xf>
    <xf numFmtId="192" fontId="0" fillId="0" borderId="0" xfId="0" applyNumberFormat="1" applyAlignment="1">
      <alignment vertical="center"/>
    </xf>
    <xf numFmtId="5" fontId="0" fillId="0" borderId="0" xfId="0" applyNumberFormat="1" applyAlignment="1">
      <alignment vertical="center"/>
    </xf>
    <xf numFmtId="0" fontId="0" fillId="0" borderId="0" xfId="0" applyAlignment="1">
      <alignment horizontal="center" vertical="center"/>
    </xf>
    <xf numFmtId="205" fontId="0" fillId="0" borderId="0" xfId="0" applyNumberFormat="1" applyAlignment="1">
      <alignment vertical="center"/>
    </xf>
    <xf numFmtId="0" fontId="0" fillId="0" borderId="0" xfId="0" applyAlignment="1">
      <alignment vertical="center"/>
    </xf>
    <xf numFmtId="0" fontId="47" fillId="32" borderId="22" xfId="65" applyBorder="1" applyAlignment="1">
      <alignment horizontal="center" vertical="center"/>
    </xf>
    <xf numFmtId="5" fontId="47" fillId="32" borderId="22" xfId="65" applyNumberFormat="1" applyBorder="1" applyAlignment="1">
      <alignment horizontal="center" vertical="center"/>
    </xf>
    <xf numFmtId="0" fontId="47" fillId="32" borderId="22" xfId="65" applyNumberFormat="1" applyBorder="1" applyAlignment="1" applyProtection="1">
      <alignment horizontal="center" vertical="center"/>
      <protection/>
    </xf>
    <xf numFmtId="191" fontId="47" fillId="32" borderId="22" xfId="65" applyNumberFormat="1" applyBorder="1" applyAlignment="1">
      <alignment horizontal="center" vertical="center"/>
    </xf>
    <xf numFmtId="192" fontId="47" fillId="32" borderId="22" xfId="65" applyNumberFormat="1" applyBorder="1" applyAlignment="1">
      <alignment horizontal="center" vertical="center"/>
    </xf>
    <xf numFmtId="198" fontId="0" fillId="0" borderId="0" xfId="0" applyNumberFormat="1" applyAlignment="1">
      <alignment vertical="center"/>
    </xf>
    <xf numFmtId="198" fontId="47" fillId="32" borderId="22" xfId="65" applyNumberFormat="1" applyBorder="1" applyAlignment="1" applyProtection="1">
      <alignment horizontal="center" vertical="center"/>
      <protection/>
    </xf>
    <xf numFmtId="207" fontId="0" fillId="0" borderId="0" xfId="0" applyNumberFormat="1" applyAlignment="1">
      <alignment vertical="center"/>
    </xf>
    <xf numFmtId="207" fontId="47" fillId="32" borderId="22" xfId="65" applyNumberFormat="1" applyBorder="1" applyAlignment="1" applyProtection="1">
      <alignment horizontal="center" vertical="center"/>
      <protection/>
    </xf>
    <xf numFmtId="207" fontId="0" fillId="0" borderId="0" xfId="0" applyNumberFormat="1" applyFont="1" applyFill="1" applyBorder="1" applyAlignment="1" applyProtection="1">
      <alignment vertical="center"/>
      <protection/>
    </xf>
    <xf numFmtId="207" fontId="0" fillId="0" borderId="0" xfId="0" applyNumberFormat="1" applyFill="1" applyBorder="1" applyAlignment="1" applyProtection="1">
      <alignment vertical="center"/>
      <protection/>
    </xf>
    <xf numFmtId="207" fontId="2" fillId="0" borderId="0" xfId="0" applyNumberFormat="1" applyFont="1" applyFill="1" applyBorder="1" applyAlignment="1" applyProtection="1">
      <alignment vertical="center"/>
      <protection/>
    </xf>
    <xf numFmtId="0" fontId="48" fillId="0" borderId="0" xfId="0" applyFont="1" applyBorder="1" applyAlignment="1">
      <alignment vertical="center"/>
    </xf>
    <xf numFmtId="5" fontId="0" fillId="0" borderId="0" xfId="0" applyNumberFormat="1" applyBorder="1" applyAlignment="1">
      <alignment vertical="center"/>
    </xf>
    <xf numFmtId="196" fontId="0" fillId="0" borderId="0" xfId="0" applyNumberFormat="1" applyBorder="1" applyAlignment="1">
      <alignment vertical="center"/>
    </xf>
    <xf numFmtId="0" fontId="0" fillId="0" borderId="0" xfId="0" applyBorder="1" applyAlignment="1">
      <alignment vertical="center"/>
    </xf>
    <xf numFmtId="207" fontId="0" fillId="0" borderId="0" xfId="0" applyNumberFormat="1" applyBorder="1" applyAlignment="1">
      <alignment vertical="center"/>
    </xf>
    <xf numFmtId="198" fontId="0" fillId="0" borderId="0" xfId="0" applyNumberFormat="1" applyBorder="1" applyAlignment="1">
      <alignment vertical="center"/>
    </xf>
    <xf numFmtId="191" fontId="0" fillId="0" borderId="0" xfId="0" applyNumberFormat="1" applyBorder="1" applyAlignment="1">
      <alignment vertical="center"/>
    </xf>
    <xf numFmtId="205" fontId="0" fillId="0" borderId="0" xfId="0" applyNumberFormat="1" applyBorder="1" applyAlignment="1">
      <alignment vertical="center"/>
    </xf>
    <xf numFmtId="192" fontId="0" fillId="0" borderId="0" xfId="0" applyNumberFormat="1" applyBorder="1" applyAlignment="1">
      <alignment vertical="center"/>
    </xf>
    <xf numFmtId="0" fontId="49" fillId="0" borderId="0" xfId="0" applyFont="1" applyAlignment="1">
      <alignment horizontal="center" vertical="center"/>
    </xf>
    <xf numFmtId="0" fontId="0" fillId="0" borderId="0" xfId="0" applyFont="1" applyAlignment="1">
      <alignment vertical="center"/>
    </xf>
    <xf numFmtId="0" fontId="47" fillId="32" borderId="22" xfId="65" applyNumberFormat="1" applyFont="1" applyBorder="1" applyAlignment="1" applyProtection="1">
      <alignment horizontal="center" vertical="center"/>
      <protection/>
    </xf>
    <xf numFmtId="0" fontId="50" fillId="0" borderId="0" xfId="0" applyNumberFormat="1" applyFont="1" applyBorder="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NumberFormat="1" applyFont="1" applyBorder="1" applyAlignment="1">
      <alignment vertical="center"/>
    </xf>
    <xf numFmtId="0" fontId="2" fillId="0" borderId="0" xfId="0" applyNumberFormat="1" applyFont="1" applyFill="1" applyBorder="1" applyAlignment="1">
      <alignment vertical="center"/>
    </xf>
    <xf numFmtId="0" fontId="11" fillId="33" borderId="25" xfId="0" applyNumberFormat="1" applyFont="1" applyFill="1" applyBorder="1" applyAlignment="1" applyProtection="1">
      <alignment horizontal="center" vertical="center"/>
      <protection/>
    </xf>
    <xf numFmtId="0" fontId="2" fillId="0" borderId="62" xfId="0" applyNumberFormat="1" applyFont="1" applyFill="1" applyBorder="1" applyAlignment="1" applyProtection="1">
      <alignment horizontal="center" vertical="center"/>
      <protection/>
    </xf>
    <xf numFmtId="0" fontId="2" fillId="0" borderId="63" xfId="0" applyNumberFormat="1" applyFont="1" applyFill="1" applyBorder="1" applyAlignment="1" applyProtection="1">
      <alignment horizontal="center" vertical="center"/>
      <protection/>
    </xf>
    <xf numFmtId="0" fontId="2" fillId="0" borderId="64" xfId="0" applyNumberFormat="1" applyFont="1" applyFill="1" applyBorder="1" applyAlignment="1" applyProtection="1">
      <alignment horizontal="center" vertical="center"/>
      <protection/>
    </xf>
    <xf numFmtId="0" fontId="2" fillId="0" borderId="65" xfId="0" applyNumberFormat="1" applyFont="1" applyFill="1" applyBorder="1" applyAlignment="1" applyProtection="1">
      <alignment vertical="center"/>
      <protection/>
    </xf>
    <xf numFmtId="0" fontId="2" fillId="0" borderId="0" xfId="0" applyFont="1" applyBorder="1" applyAlignment="1">
      <alignment vertical="top" wrapText="1"/>
    </xf>
    <xf numFmtId="0" fontId="2" fillId="0" borderId="66"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2" fillId="0" borderId="50" xfId="0" applyNumberFormat="1" applyFont="1" applyFill="1" applyBorder="1" applyAlignment="1" applyProtection="1">
      <alignment horizontal="center" vertical="center"/>
      <protection/>
    </xf>
    <xf numFmtId="0" fontId="2" fillId="0" borderId="25" xfId="0" applyNumberFormat="1" applyFont="1" applyFill="1" applyBorder="1" applyAlignment="1" applyProtection="1">
      <alignment horizontal="center" vertical="center"/>
      <protection/>
    </xf>
    <xf numFmtId="0" fontId="2" fillId="0" borderId="67"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vertical="center"/>
      <protection/>
    </xf>
    <xf numFmtId="181" fontId="2" fillId="0" borderId="0" xfId="0" applyNumberFormat="1" applyFont="1" applyAlignment="1">
      <alignment vertical="center"/>
    </xf>
    <xf numFmtId="14" fontId="0" fillId="0" borderId="0" xfId="0" applyNumberFormat="1" applyFont="1" applyBorder="1" applyAlignment="1">
      <alignment vertical="top" wrapText="1"/>
    </xf>
    <xf numFmtId="14" fontId="0" fillId="0" borderId="0" xfId="0" applyNumberFormat="1" applyBorder="1" applyAlignment="1">
      <alignment vertical="top" wrapText="1"/>
    </xf>
    <xf numFmtId="186" fontId="0" fillId="0" borderId="10" xfId="0" applyNumberFormat="1" applyFont="1" applyFill="1" applyBorder="1" applyAlignment="1" applyProtection="1">
      <alignment vertical="center"/>
      <protection/>
    </xf>
    <xf numFmtId="186" fontId="0" fillId="0" borderId="12" xfId="0" applyNumberFormat="1" applyFont="1" applyFill="1" applyBorder="1" applyAlignment="1" applyProtection="1">
      <alignment vertical="center"/>
      <protection/>
    </xf>
    <xf numFmtId="0" fontId="47" fillId="5" borderId="22" xfId="65" applyFill="1" applyBorder="1" applyAlignment="1">
      <alignment horizontal="center" vertical="center"/>
    </xf>
    <xf numFmtId="205" fontId="47" fillId="5" borderId="22" xfId="65" applyNumberFormat="1" applyFill="1" applyBorder="1" applyAlignment="1">
      <alignment horizontal="center" vertical="center"/>
    </xf>
    <xf numFmtId="0" fontId="47" fillId="8" borderId="22" xfId="65" applyNumberFormat="1" applyFill="1" applyBorder="1" applyAlignment="1" applyProtection="1">
      <alignment horizontal="center" vertical="center"/>
      <protection/>
    </xf>
    <xf numFmtId="0" fontId="51" fillId="8" borderId="22" xfId="65" applyNumberFormat="1" applyFont="1" applyFill="1" applyBorder="1" applyAlignment="1" applyProtection="1">
      <alignment horizontal="center" vertical="center"/>
      <protection/>
    </xf>
    <xf numFmtId="0" fontId="47" fillId="37" borderId="22" xfId="65" applyNumberFormat="1" applyFill="1" applyBorder="1" applyAlignment="1" applyProtection="1">
      <alignment horizontal="center" vertical="center"/>
      <protection/>
    </xf>
    <xf numFmtId="0" fontId="51" fillId="37" borderId="22" xfId="65" applyNumberFormat="1" applyFont="1" applyFill="1" applyBorder="1" applyAlignment="1" applyProtection="1">
      <alignment horizontal="center" vertical="center"/>
      <protection/>
    </xf>
    <xf numFmtId="0" fontId="2" fillId="0" borderId="0" xfId="0" applyFont="1" applyAlignment="1">
      <alignment vertical="center"/>
    </xf>
    <xf numFmtId="0" fontId="51" fillId="5" borderId="22" xfId="65" applyNumberFormat="1" applyFont="1" applyFill="1" applyBorder="1" applyAlignment="1" applyProtection="1">
      <alignment vertical="center"/>
      <protection/>
    </xf>
    <xf numFmtId="0" fontId="52" fillId="0" borderId="0" xfId="0" applyFont="1" applyBorder="1" applyAlignment="1">
      <alignment vertical="center"/>
    </xf>
    <xf numFmtId="0" fontId="52" fillId="0" borderId="0" xfId="0" applyNumberFormat="1" applyFont="1" applyBorder="1" applyAlignment="1">
      <alignment vertical="center"/>
    </xf>
    <xf numFmtId="0" fontId="52" fillId="0" borderId="0" xfId="0" applyNumberFormat="1" applyFont="1" applyFill="1" applyBorder="1" applyAlignment="1">
      <alignment vertical="center"/>
    </xf>
    <xf numFmtId="186" fontId="0" fillId="0" borderId="0" xfId="0" applyNumberFormat="1" applyBorder="1" applyAlignment="1">
      <alignment vertical="center"/>
    </xf>
    <xf numFmtId="191" fontId="0" fillId="0" borderId="0" xfId="0" applyNumberFormat="1" applyFont="1" applyBorder="1" applyAlignment="1">
      <alignment vertical="center"/>
    </xf>
    <xf numFmtId="14" fontId="0" fillId="0" borderId="0" xfId="0" applyNumberFormat="1" applyBorder="1" applyAlignment="1">
      <alignment vertical="center"/>
    </xf>
    <xf numFmtId="187" fontId="0" fillId="0" borderId="10" xfId="0" applyNumberFormat="1" applyFont="1" applyFill="1" applyBorder="1" applyAlignment="1" applyProtection="1">
      <alignment vertical="center"/>
      <protection/>
    </xf>
    <xf numFmtId="5" fontId="5" fillId="36" borderId="17" xfId="62" applyNumberFormat="1" applyFont="1" applyFill="1" applyBorder="1" applyAlignment="1" applyProtection="1">
      <alignment horizontal="center"/>
      <protection/>
    </xf>
    <xf numFmtId="5" fontId="5" fillId="36" borderId="52" xfId="62" applyNumberFormat="1" applyFont="1" applyFill="1" applyBorder="1" applyAlignment="1" applyProtection="1">
      <alignment horizontal="center"/>
      <protection/>
    </xf>
    <xf numFmtId="5" fontId="5" fillId="36" borderId="38" xfId="62" applyNumberFormat="1" applyFont="1" applyFill="1" applyBorder="1" applyAlignment="1" applyProtection="1">
      <alignment horizontal="center"/>
      <protection/>
    </xf>
    <xf numFmtId="5" fontId="5" fillId="36" borderId="54" xfId="62" applyNumberFormat="1" applyFont="1" applyFill="1" applyBorder="1" applyAlignment="1" applyProtection="1">
      <alignment horizontal="center"/>
      <protection/>
    </xf>
    <xf numFmtId="5" fontId="5" fillId="36" borderId="68" xfId="62" applyNumberFormat="1" applyFont="1" applyFill="1" applyBorder="1" applyAlignment="1" applyProtection="1">
      <alignment horizontal="center"/>
      <protection/>
    </xf>
    <xf numFmtId="5" fontId="9" fillId="0" borderId="50" xfId="62" applyNumberFormat="1" applyFont="1" applyFill="1" applyBorder="1" applyAlignment="1" applyProtection="1">
      <alignment horizontal="center" vertical="center"/>
      <protection/>
    </xf>
    <xf numFmtId="188" fontId="4" fillId="0" borderId="20" xfId="62" applyNumberFormat="1" applyFont="1" applyFill="1" applyBorder="1" applyAlignment="1" applyProtection="1">
      <alignment horizontal="center" vertical="center"/>
      <protection/>
    </xf>
    <xf numFmtId="188" fontId="4" fillId="0" borderId="29" xfId="62" applyNumberFormat="1" applyFont="1" applyFill="1" applyBorder="1" applyAlignment="1" applyProtection="1">
      <alignment horizontal="center" vertical="center"/>
      <protection/>
    </xf>
    <xf numFmtId="5" fontId="4" fillId="0" borderId="68" xfId="62" applyNumberFormat="1" applyFont="1" applyFill="1" applyBorder="1" applyAlignment="1" applyProtection="1">
      <alignment horizontal="center" vertical="center"/>
      <protection/>
    </xf>
    <xf numFmtId="5" fontId="4" fillId="0" borderId="69" xfId="62" applyNumberFormat="1" applyFont="1" applyFill="1" applyBorder="1" applyAlignment="1" applyProtection="1">
      <alignment horizontal="center" vertical="center"/>
      <protection/>
    </xf>
    <xf numFmtId="0" fontId="3" fillId="33" borderId="61" xfId="0" applyNumberFormat="1" applyFont="1" applyFill="1" applyBorder="1" applyAlignment="1" applyProtection="1">
      <alignment horizontal="center" vertical="center"/>
      <protection/>
    </xf>
    <xf numFmtId="0" fontId="3" fillId="33" borderId="34" xfId="0" applyNumberFormat="1" applyFont="1" applyFill="1" applyBorder="1" applyAlignment="1" applyProtection="1">
      <alignment horizontal="center" vertical="center"/>
      <protection/>
    </xf>
    <xf numFmtId="0" fontId="3" fillId="33" borderId="27" xfId="0" applyNumberFormat="1" applyFont="1" applyFill="1" applyBorder="1" applyAlignment="1" applyProtection="1">
      <alignment horizontal="center" vertical="center"/>
      <protection/>
    </xf>
    <xf numFmtId="0" fontId="3" fillId="33" borderId="70" xfId="0" applyNumberFormat="1"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気づき" xfId="63"/>
    <cellStyle name="Followed Hyperlink" xfId="64"/>
    <cellStyle name="良い" xfId="65"/>
  </cellStyles>
  <dxfs count="12">
    <dxf>
      <font>
        <b/>
        <color rgb="FFDD0806"/>
      </font>
    </dxf>
    <dxf>
      <font>
        <b/>
        <color rgb="FFDD0806"/>
      </font>
    </dxf>
    <dxf>
      <font>
        <b/>
        <color rgb="FFDD0806"/>
      </font>
    </dxf>
    <dxf>
      <font>
        <b/>
        <color rgb="FFDD0806"/>
      </font>
    </dxf>
    <dxf>
      <font>
        <b/>
        <color rgb="FFDD0806"/>
      </font>
    </dxf>
    <dxf>
      <font>
        <b/>
        <color rgb="FFDD0806"/>
      </font>
    </dxf>
    <dxf>
      <font>
        <b/>
        <color rgb="FFDD0806"/>
      </font>
    </dxf>
    <dxf>
      <font>
        <b/>
        <color rgb="FFDD0806"/>
      </font>
    </dxf>
    <dxf>
      <font>
        <b/>
        <color rgb="FFDD0806"/>
      </font>
    </dxf>
    <dxf>
      <font>
        <b/>
        <color rgb="FFDD0806"/>
      </font>
    </dxf>
    <dxf>
      <font>
        <b/>
        <color rgb="FFDD0806"/>
      </font>
    </dxf>
    <dxf>
      <font>
        <b/>
        <color rgb="FFDD08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161925</xdr:rowOff>
    </xdr:from>
    <xdr:to>
      <xdr:col>20</xdr:col>
      <xdr:colOff>85725</xdr:colOff>
      <xdr:row>39</xdr:row>
      <xdr:rowOff>0</xdr:rowOff>
    </xdr:to>
    <xdr:pic>
      <xdr:nvPicPr>
        <xdr:cNvPr id="1" name="図 1" descr="１.png"/>
        <xdr:cNvPicPr preferRelativeResize="1">
          <a:picLocks noChangeAspect="1"/>
        </xdr:cNvPicPr>
      </xdr:nvPicPr>
      <xdr:blipFill>
        <a:blip r:embed="rId1"/>
        <a:stretch>
          <a:fillRect/>
        </a:stretch>
      </xdr:blipFill>
      <xdr:spPr>
        <a:xfrm>
          <a:off x="714375" y="161925"/>
          <a:ext cx="13087350" cy="6524625"/>
        </a:xfrm>
        <a:prstGeom prst="rect">
          <a:avLst/>
        </a:prstGeom>
        <a:noFill/>
        <a:ln w="9525" cmpd="sng">
          <a:noFill/>
        </a:ln>
      </xdr:spPr>
    </xdr:pic>
    <xdr:clientData/>
  </xdr:twoCellAnchor>
  <xdr:twoCellAnchor editAs="oneCell">
    <xdr:from>
      <xdr:col>1</xdr:col>
      <xdr:colOff>0</xdr:colOff>
      <xdr:row>41</xdr:row>
      <xdr:rowOff>0</xdr:rowOff>
    </xdr:from>
    <xdr:to>
      <xdr:col>19</xdr:col>
      <xdr:colOff>647700</xdr:colOff>
      <xdr:row>79</xdr:row>
      <xdr:rowOff>76200</xdr:rowOff>
    </xdr:to>
    <xdr:pic>
      <xdr:nvPicPr>
        <xdr:cNvPr id="2" name="図 2" descr="２.png"/>
        <xdr:cNvPicPr preferRelativeResize="1">
          <a:picLocks noChangeAspect="1"/>
        </xdr:cNvPicPr>
      </xdr:nvPicPr>
      <xdr:blipFill>
        <a:blip r:embed="rId2"/>
        <a:stretch>
          <a:fillRect/>
        </a:stretch>
      </xdr:blipFill>
      <xdr:spPr>
        <a:xfrm>
          <a:off x="685800" y="7029450"/>
          <a:ext cx="12992100" cy="6591300"/>
        </a:xfrm>
        <a:prstGeom prst="rect">
          <a:avLst/>
        </a:prstGeom>
        <a:noFill/>
        <a:ln w="9525" cmpd="sng">
          <a:noFill/>
        </a:ln>
      </xdr:spPr>
    </xdr:pic>
    <xdr:clientData/>
  </xdr:twoCellAnchor>
  <xdr:twoCellAnchor editAs="oneCell">
    <xdr:from>
      <xdr:col>1</xdr:col>
      <xdr:colOff>0</xdr:colOff>
      <xdr:row>82</xdr:row>
      <xdr:rowOff>0</xdr:rowOff>
    </xdr:from>
    <xdr:to>
      <xdr:col>20</xdr:col>
      <xdr:colOff>57150</xdr:colOff>
      <xdr:row>120</xdr:row>
      <xdr:rowOff>114300</xdr:rowOff>
    </xdr:to>
    <xdr:pic>
      <xdr:nvPicPr>
        <xdr:cNvPr id="3" name="図 3" descr="３.png"/>
        <xdr:cNvPicPr preferRelativeResize="1">
          <a:picLocks noChangeAspect="1"/>
        </xdr:cNvPicPr>
      </xdr:nvPicPr>
      <xdr:blipFill>
        <a:blip r:embed="rId3"/>
        <a:stretch>
          <a:fillRect/>
        </a:stretch>
      </xdr:blipFill>
      <xdr:spPr>
        <a:xfrm>
          <a:off x="685800" y="14058900"/>
          <a:ext cx="13087350" cy="6629400"/>
        </a:xfrm>
        <a:prstGeom prst="rect">
          <a:avLst/>
        </a:prstGeom>
        <a:noFill/>
        <a:ln w="9525" cmpd="sng">
          <a:noFill/>
        </a:ln>
      </xdr:spPr>
    </xdr:pic>
    <xdr:clientData/>
  </xdr:twoCellAnchor>
  <xdr:twoCellAnchor editAs="oneCell">
    <xdr:from>
      <xdr:col>1</xdr:col>
      <xdr:colOff>0</xdr:colOff>
      <xdr:row>123</xdr:row>
      <xdr:rowOff>0</xdr:rowOff>
    </xdr:from>
    <xdr:to>
      <xdr:col>20</xdr:col>
      <xdr:colOff>28575</xdr:colOff>
      <xdr:row>161</xdr:row>
      <xdr:rowOff>76200</xdr:rowOff>
    </xdr:to>
    <xdr:pic>
      <xdr:nvPicPr>
        <xdr:cNvPr id="4" name="図 4" descr="４.png"/>
        <xdr:cNvPicPr preferRelativeResize="1">
          <a:picLocks noChangeAspect="1"/>
        </xdr:cNvPicPr>
      </xdr:nvPicPr>
      <xdr:blipFill>
        <a:blip r:embed="rId4"/>
        <a:stretch>
          <a:fillRect/>
        </a:stretch>
      </xdr:blipFill>
      <xdr:spPr>
        <a:xfrm>
          <a:off x="685800" y="21088350"/>
          <a:ext cx="13058775" cy="6591300"/>
        </a:xfrm>
        <a:prstGeom prst="rect">
          <a:avLst/>
        </a:prstGeom>
        <a:noFill/>
        <a:ln w="9525" cmpd="sng">
          <a:noFill/>
        </a:ln>
      </xdr:spPr>
    </xdr:pic>
    <xdr:clientData/>
  </xdr:twoCellAnchor>
  <xdr:twoCellAnchor editAs="oneCell">
    <xdr:from>
      <xdr:col>1</xdr:col>
      <xdr:colOff>0</xdr:colOff>
      <xdr:row>164</xdr:row>
      <xdr:rowOff>0</xdr:rowOff>
    </xdr:from>
    <xdr:to>
      <xdr:col>20</xdr:col>
      <xdr:colOff>161925</xdr:colOff>
      <xdr:row>202</xdr:row>
      <xdr:rowOff>104775</xdr:rowOff>
    </xdr:to>
    <xdr:pic>
      <xdr:nvPicPr>
        <xdr:cNvPr id="5" name="図 5" descr="５.png"/>
        <xdr:cNvPicPr preferRelativeResize="1">
          <a:picLocks noChangeAspect="1"/>
        </xdr:cNvPicPr>
      </xdr:nvPicPr>
      <xdr:blipFill>
        <a:blip r:embed="rId5"/>
        <a:stretch>
          <a:fillRect/>
        </a:stretch>
      </xdr:blipFill>
      <xdr:spPr>
        <a:xfrm>
          <a:off x="685800" y="28117800"/>
          <a:ext cx="13192125" cy="6619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9"/>
  <sheetViews>
    <sheetView zoomScaleSheetLayoutView="100" zoomScalePageLayoutView="0" workbookViewId="0" topLeftCell="A1">
      <selection activeCell="A22" sqref="A22"/>
    </sheetView>
  </sheetViews>
  <sheetFormatPr defaultColWidth="10.00390625" defaultRowHeight="13.5" customHeight="1"/>
  <cols>
    <col min="1" max="1" width="22.75390625" style="0" customWidth="1"/>
    <col min="2" max="2" width="13.625" style="0" customWidth="1"/>
    <col min="3" max="3" width="13.875" style="0" customWidth="1"/>
    <col min="4" max="4" width="15.625" style="0" customWidth="1"/>
    <col min="5" max="5" width="12.375" style="0" customWidth="1"/>
    <col min="6" max="6" width="12.25390625" style="0" customWidth="1"/>
    <col min="7" max="7" width="13.25390625" style="0" customWidth="1"/>
    <col min="8" max="8" width="10.00390625" style="0" customWidth="1"/>
    <col min="9" max="9" width="15.75390625" style="0" customWidth="1"/>
    <col min="10" max="10" width="13.125" style="0" customWidth="1"/>
    <col min="11" max="11" width="15.50390625" style="0" customWidth="1"/>
    <col min="12" max="12" width="17.625" style="0" customWidth="1"/>
  </cols>
  <sheetData>
    <row r="1" spans="1:8" ht="19.5" customHeight="1">
      <c r="A1" s="94"/>
      <c r="B1" s="172" t="s">
        <v>0</v>
      </c>
      <c r="C1" s="173"/>
      <c r="D1" s="174"/>
      <c r="E1" s="93"/>
      <c r="F1" s="175" t="s">
        <v>0</v>
      </c>
      <c r="G1" s="176"/>
      <c r="H1" s="95"/>
    </row>
    <row r="2" spans="1:9" ht="25.5" customHeight="1">
      <c r="A2" s="96" t="s">
        <v>1</v>
      </c>
      <c r="B2" s="177">
        <v>3000000</v>
      </c>
      <c r="C2" s="177"/>
      <c r="D2" s="177"/>
      <c r="E2" s="37" t="s">
        <v>2</v>
      </c>
      <c r="F2" s="178">
        <v>41609</v>
      </c>
      <c r="G2" s="179"/>
      <c r="H2" s="19"/>
      <c r="I2" s="19"/>
    </row>
    <row r="3" spans="1:11" ht="27" customHeight="1">
      <c r="A3" s="20" t="s">
        <v>3</v>
      </c>
      <c r="B3" s="180">
        <f>SUM(B2+D17)</f>
        <v>3020000</v>
      </c>
      <c r="C3" s="180"/>
      <c r="D3" s="181"/>
      <c r="E3" s="21" t="s">
        <v>4</v>
      </c>
      <c r="F3" s="22">
        <v>0.02</v>
      </c>
      <c r="G3" s="23">
        <f>B3*F3</f>
        <v>60400</v>
      </c>
      <c r="H3" s="25" t="s">
        <v>5</v>
      </c>
      <c r="I3" s="26">
        <f>(B3-B2)</f>
        <v>20000</v>
      </c>
      <c r="K3" s="97"/>
    </row>
    <row r="4" spans="1:9" s="76" customFormat="1" ht="17.25" customHeight="1">
      <c r="A4" s="71"/>
      <c r="B4" s="72"/>
      <c r="C4" s="72"/>
      <c r="D4" s="72"/>
      <c r="E4" s="73"/>
      <c r="F4" s="92" t="s">
        <v>0</v>
      </c>
      <c r="G4" s="72"/>
      <c r="H4" s="74"/>
      <c r="I4" s="75"/>
    </row>
    <row r="5" spans="1:12" ht="39" customHeight="1">
      <c r="A5" s="77"/>
      <c r="B5" s="78"/>
      <c r="C5" s="78"/>
      <c r="D5" s="90"/>
      <c r="E5" s="79"/>
      <c r="F5" s="91"/>
      <c r="G5" s="78"/>
      <c r="H5" s="80"/>
      <c r="I5" s="81"/>
      <c r="J5" s="82"/>
      <c r="K5" s="83"/>
      <c r="L5" s="83"/>
    </row>
    <row r="6" spans="1:12" ht="21" customHeight="1">
      <c r="A6" s="87" t="s">
        <v>6</v>
      </c>
      <c r="B6" s="85" t="s">
        <v>0</v>
      </c>
      <c r="C6" s="85" t="s">
        <v>0</v>
      </c>
      <c r="D6" s="86"/>
      <c r="E6" s="85" t="s">
        <v>0</v>
      </c>
      <c r="F6" s="88" t="s">
        <v>0</v>
      </c>
      <c r="G6" s="24"/>
      <c r="H6" s="19"/>
      <c r="I6" s="19"/>
      <c r="L6" s="84"/>
    </row>
    <row r="7" spans="1:12" ht="28.5">
      <c r="A7" s="89" t="s">
        <v>7</v>
      </c>
      <c r="B7" s="31" t="s">
        <v>8</v>
      </c>
      <c r="C7" s="32" t="s">
        <v>9</v>
      </c>
      <c r="D7" s="33" t="s">
        <v>10</v>
      </c>
      <c r="E7" s="34" t="s">
        <v>11</v>
      </c>
      <c r="F7" s="32" t="s">
        <v>12</v>
      </c>
      <c r="G7" s="34" t="s">
        <v>13</v>
      </c>
      <c r="H7" s="33" t="s">
        <v>14</v>
      </c>
      <c r="I7" s="35" t="s">
        <v>15</v>
      </c>
      <c r="J7" s="38" t="s">
        <v>16</v>
      </c>
      <c r="K7" s="32" t="s">
        <v>17</v>
      </c>
      <c r="L7" s="36" t="s">
        <v>18</v>
      </c>
    </row>
    <row r="8" spans="1:12" ht="24.75" customHeight="1">
      <c r="A8" s="28">
        <v>42095</v>
      </c>
      <c r="B8" s="39">
        <v>20000</v>
      </c>
      <c r="C8" s="40"/>
      <c r="D8" s="58">
        <f aca="true" t="shared" si="0" ref="D8:D16">SUM(B8-C8)</f>
        <v>20000</v>
      </c>
      <c r="E8" s="41"/>
      <c r="F8" s="42"/>
      <c r="G8" s="41">
        <f aca="true" t="shared" si="1" ref="G8:G16">SUM(E8+F8)</f>
        <v>0</v>
      </c>
      <c r="H8" s="43" t="e">
        <f aca="true" t="shared" si="2" ref="H8:H16">E8/G8</f>
        <v>#DIV/0!</v>
      </c>
      <c r="I8" s="44" t="e">
        <f aca="true" t="shared" si="3" ref="I8:I16">B8/E8</f>
        <v>#DIV/0!</v>
      </c>
      <c r="J8" s="44" t="e">
        <f aca="true" t="shared" si="4" ref="J8:J16">C8/F8</f>
        <v>#DIV/0!</v>
      </c>
      <c r="K8" s="45" t="e">
        <f aca="true" t="shared" si="5" ref="K8:K16">I8/J8</f>
        <v>#DIV/0!</v>
      </c>
      <c r="L8" s="46" t="e">
        <f aca="true" t="shared" si="6" ref="L8:L16">B8/C8</f>
        <v>#DIV/0!</v>
      </c>
    </row>
    <row r="9" spans="1:12" ht="24.75" customHeight="1">
      <c r="A9" s="29">
        <v>42125</v>
      </c>
      <c r="B9" s="47"/>
      <c r="C9" s="48"/>
      <c r="D9" s="58">
        <f t="shared" si="0"/>
        <v>0</v>
      </c>
      <c r="E9" s="49"/>
      <c r="F9" s="49"/>
      <c r="G9" s="41">
        <f t="shared" si="1"/>
        <v>0</v>
      </c>
      <c r="H9" s="43" t="e">
        <f t="shared" si="2"/>
        <v>#DIV/0!</v>
      </c>
      <c r="I9" s="44" t="e">
        <f t="shared" si="3"/>
        <v>#DIV/0!</v>
      </c>
      <c r="J9" s="44" t="e">
        <f t="shared" si="4"/>
        <v>#DIV/0!</v>
      </c>
      <c r="K9" s="45" t="e">
        <f t="shared" si="5"/>
        <v>#DIV/0!</v>
      </c>
      <c r="L9" s="46" t="e">
        <f t="shared" si="6"/>
        <v>#DIV/0!</v>
      </c>
    </row>
    <row r="10" spans="1:12" ht="24.75" customHeight="1">
      <c r="A10" s="28">
        <v>42156</v>
      </c>
      <c r="B10" s="47"/>
      <c r="C10" s="48"/>
      <c r="D10" s="58">
        <f t="shared" si="0"/>
        <v>0</v>
      </c>
      <c r="E10" s="49"/>
      <c r="F10" s="49"/>
      <c r="G10" s="41">
        <f t="shared" si="1"/>
        <v>0</v>
      </c>
      <c r="H10" s="43" t="e">
        <f t="shared" si="2"/>
        <v>#DIV/0!</v>
      </c>
      <c r="I10" s="44" t="e">
        <f t="shared" si="3"/>
        <v>#DIV/0!</v>
      </c>
      <c r="J10" s="44" t="e">
        <f t="shared" si="4"/>
        <v>#DIV/0!</v>
      </c>
      <c r="K10" s="45" t="e">
        <f t="shared" si="5"/>
        <v>#DIV/0!</v>
      </c>
      <c r="L10" s="46" t="e">
        <f t="shared" si="6"/>
        <v>#DIV/0!</v>
      </c>
    </row>
    <row r="11" spans="1:12" ht="24.75" customHeight="1">
      <c r="A11" s="29">
        <v>42186</v>
      </c>
      <c r="B11" s="47"/>
      <c r="C11" s="48"/>
      <c r="D11" s="58">
        <f t="shared" si="0"/>
        <v>0</v>
      </c>
      <c r="E11" s="49"/>
      <c r="F11" s="49"/>
      <c r="G11" s="41">
        <f t="shared" si="1"/>
        <v>0</v>
      </c>
      <c r="H11" s="43" t="e">
        <f t="shared" si="2"/>
        <v>#DIV/0!</v>
      </c>
      <c r="I11" s="44" t="e">
        <f t="shared" si="3"/>
        <v>#DIV/0!</v>
      </c>
      <c r="J11" s="44" t="e">
        <f t="shared" si="4"/>
        <v>#DIV/0!</v>
      </c>
      <c r="K11" s="45" t="e">
        <f t="shared" si="5"/>
        <v>#DIV/0!</v>
      </c>
      <c r="L11" s="46" t="e">
        <f t="shared" si="6"/>
        <v>#DIV/0!</v>
      </c>
    </row>
    <row r="12" spans="1:12" ht="24.75" customHeight="1">
      <c r="A12" s="28">
        <v>42217</v>
      </c>
      <c r="B12" s="47"/>
      <c r="C12" s="40"/>
      <c r="D12" s="58">
        <f t="shared" si="0"/>
        <v>0</v>
      </c>
      <c r="E12" s="49"/>
      <c r="F12" s="49"/>
      <c r="G12" s="41">
        <f t="shared" si="1"/>
        <v>0</v>
      </c>
      <c r="H12" s="43" t="e">
        <f t="shared" si="2"/>
        <v>#DIV/0!</v>
      </c>
      <c r="I12" s="44" t="e">
        <f t="shared" si="3"/>
        <v>#DIV/0!</v>
      </c>
      <c r="J12" s="44" t="e">
        <f t="shared" si="4"/>
        <v>#DIV/0!</v>
      </c>
      <c r="K12" s="45" t="e">
        <f t="shared" si="5"/>
        <v>#DIV/0!</v>
      </c>
      <c r="L12" s="46" t="e">
        <f t="shared" si="6"/>
        <v>#DIV/0!</v>
      </c>
    </row>
    <row r="13" spans="1:12" ht="24.75" customHeight="1">
      <c r="A13" s="29">
        <v>42248</v>
      </c>
      <c r="B13" s="47"/>
      <c r="C13" s="48"/>
      <c r="D13" s="58">
        <f t="shared" si="0"/>
        <v>0</v>
      </c>
      <c r="E13" s="49"/>
      <c r="F13" s="49"/>
      <c r="G13" s="41">
        <f t="shared" si="1"/>
        <v>0</v>
      </c>
      <c r="H13" s="43" t="e">
        <f t="shared" si="2"/>
        <v>#DIV/0!</v>
      </c>
      <c r="I13" s="44" t="e">
        <f t="shared" si="3"/>
        <v>#DIV/0!</v>
      </c>
      <c r="J13" s="44" t="e">
        <f t="shared" si="4"/>
        <v>#DIV/0!</v>
      </c>
      <c r="K13" s="45" t="e">
        <f t="shared" si="5"/>
        <v>#DIV/0!</v>
      </c>
      <c r="L13" s="46" t="e">
        <f t="shared" si="6"/>
        <v>#DIV/0!</v>
      </c>
    </row>
    <row r="14" spans="1:12" ht="24.75" customHeight="1">
      <c r="A14" s="28">
        <v>42278</v>
      </c>
      <c r="B14" s="47"/>
      <c r="C14" s="40"/>
      <c r="D14" s="58">
        <f t="shared" si="0"/>
        <v>0</v>
      </c>
      <c r="E14" s="49"/>
      <c r="F14" s="49"/>
      <c r="G14" s="41">
        <f t="shared" si="1"/>
        <v>0</v>
      </c>
      <c r="H14" s="43" t="e">
        <f t="shared" si="2"/>
        <v>#DIV/0!</v>
      </c>
      <c r="I14" s="44" t="e">
        <f t="shared" si="3"/>
        <v>#DIV/0!</v>
      </c>
      <c r="J14" s="44" t="e">
        <f t="shared" si="4"/>
        <v>#DIV/0!</v>
      </c>
      <c r="K14" s="45" t="e">
        <f t="shared" si="5"/>
        <v>#DIV/0!</v>
      </c>
      <c r="L14" s="46" t="e">
        <f t="shared" si="6"/>
        <v>#DIV/0!</v>
      </c>
    </row>
    <row r="15" spans="1:12" ht="24.75" customHeight="1">
      <c r="A15" s="29">
        <v>42309</v>
      </c>
      <c r="B15" s="47"/>
      <c r="C15" s="40"/>
      <c r="D15" s="58">
        <f t="shared" si="0"/>
        <v>0</v>
      </c>
      <c r="E15" s="49"/>
      <c r="F15" s="49"/>
      <c r="G15" s="41">
        <f t="shared" si="1"/>
        <v>0</v>
      </c>
      <c r="H15" s="43" t="e">
        <f t="shared" si="2"/>
        <v>#DIV/0!</v>
      </c>
      <c r="I15" s="44" t="e">
        <f t="shared" si="3"/>
        <v>#DIV/0!</v>
      </c>
      <c r="J15" s="44" t="e">
        <f t="shared" si="4"/>
        <v>#DIV/0!</v>
      </c>
      <c r="K15" s="45" t="e">
        <f t="shared" si="5"/>
        <v>#DIV/0!</v>
      </c>
      <c r="L15" s="46" t="e">
        <f t="shared" si="6"/>
        <v>#DIV/0!</v>
      </c>
    </row>
    <row r="16" spans="1:12" ht="24.75" customHeight="1">
      <c r="A16" s="30">
        <v>42339</v>
      </c>
      <c r="B16" s="50"/>
      <c r="C16" s="51"/>
      <c r="D16" s="59">
        <f t="shared" si="0"/>
        <v>0</v>
      </c>
      <c r="E16" s="52"/>
      <c r="F16" s="52"/>
      <c r="G16" s="53">
        <f t="shared" si="1"/>
        <v>0</v>
      </c>
      <c r="H16" s="54" t="e">
        <f t="shared" si="2"/>
        <v>#DIV/0!</v>
      </c>
      <c r="I16" s="55" t="e">
        <f t="shared" si="3"/>
        <v>#DIV/0!</v>
      </c>
      <c r="J16" s="55" t="e">
        <f t="shared" si="4"/>
        <v>#DIV/0!</v>
      </c>
      <c r="K16" s="56" t="e">
        <f t="shared" si="5"/>
        <v>#DIV/0!</v>
      </c>
      <c r="L16" s="57" t="e">
        <f t="shared" si="6"/>
        <v>#DIV/0!</v>
      </c>
    </row>
    <row r="17" spans="1:12" ht="24.75" customHeight="1">
      <c r="A17" s="60" t="s">
        <v>19</v>
      </c>
      <c r="B17" s="61">
        <f aca="true" t="shared" si="7" ref="B17:G17">SUM(B8:B16)</f>
        <v>20000</v>
      </c>
      <c r="C17" s="62">
        <f t="shared" si="7"/>
        <v>0</v>
      </c>
      <c r="D17" s="63">
        <f t="shared" si="7"/>
        <v>20000</v>
      </c>
      <c r="E17" s="64">
        <f t="shared" si="7"/>
        <v>0</v>
      </c>
      <c r="F17" s="65">
        <f t="shared" si="7"/>
        <v>0</v>
      </c>
      <c r="G17" s="64">
        <f t="shared" si="7"/>
        <v>0</v>
      </c>
      <c r="H17" s="66" t="e">
        <f>AVERAGE(H8:H16)</f>
        <v>#DIV/0!</v>
      </c>
      <c r="I17" s="62" t="e">
        <f>AVERAGE(I8:I16)</f>
        <v>#DIV/0!</v>
      </c>
      <c r="J17" s="62" t="e">
        <f>AVERAGE(J8:J16)</f>
        <v>#DIV/0!</v>
      </c>
      <c r="K17" s="67" t="e">
        <f>AVERAGE(K8:K16)</f>
        <v>#DIV/0!</v>
      </c>
      <c r="L17" s="68" t="e">
        <f>AVERAGE(L8:L16)</f>
        <v>#DIV/0!</v>
      </c>
    </row>
    <row r="18" spans="1:12" ht="13.5">
      <c r="A18" s="27"/>
      <c r="J18" s="69"/>
      <c r="K18" s="70" t="s">
        <v>20</v>
      </c>
      <c r="L18" s="70" t="s">
        <v>21</v>
      </c>
    </row>
    <row r="19" ht="13.5">
      <c r="A19" s="27"/>
    </row>
  </sheetData>
  <sheetProtection/>
  <mergeCells count="5">
    <mergeCell ref="B1:D1"/>
    <mergeCell ref="F1:G1"/>
    <mergeCell ref="B2:D2"/>
    <mergeCell ref="F2:G2"/>
    <mergeCell ref="B3:D3"/>
  </mergeCells>
  <printOptions/>
  <pageMargins left="0.6986111111111111" right="0.6986111111111111"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3:R97"/>
  <sheetViews>
    <sheetView tabSelected="1" zoomScaleSheetLayoutView="100" zoomScalePageLayoutView="0" workbookViewId="0" topLeftCell="A1">
      <pane ySplit="10" topLeftCell="A11" activePane="bottomLeft" state="frozen"/>
      <selection pane="topLeft" activeCell="A1" sqref="A1"/>
      <selection pane="bottomLeft" activeCell="H51" sqref="H51"/>
    </sheetView>
  </sheetViews>
  <sheetFormatPr defaultColWidth="10.00390625" defaultRowHeight="13.5" customHeight="1"/>
  <cols>
    <col min="1" max="1" width="3.50390625" style="0" customWidth="1"/>
    <col min="2" max="2" width="11.50390625" style="107" customWidth="1"/>
    <col min="3" max="3" width="6.00390625" style="133" customWidth="1"/>
    <col min="4" max="4" width="16.375" style="0" customWidth="1"/>
    <col min="5" max="5" width="9.625" style="0" customWidth="1"/>
    <col min="6" max="6" width="12.75390625" style="0" customWidth="1"/>
    <col min="7" max="7" width="12.50390625" style="136" customWidth="1"/>
    <col min="8" max="8" width="15.875" style="0" customWidth="1"/>
    <col min="9" max="9" width="10.00390625" style="136" customWidth="1"/>
    <col min="10" max="10" width="7.00390625" style="118" customWidth="1"/>
    <col min="11" max="11" width="13.50390625" style="116" customWidth="1"/>
    <col min="12" max="12" width="13.25390625" style="163" customWidth="1"/>
    <col min="13" max="13" width="8.00390625" style="0" customWidth="1"/>
    <col min="14" max="14" width="11.125" style="0" customWidth="1"/>
    <col min="15" max="15" width="10.125" style="109" customWidth="1"/>
    <col min="16" max="16" width="9.375" style="0" customWidth="1"/>
    <col min="17" max="17" width="10.00390625" style="105" customWidth="1"/>
    <col min="18" max="18" width="10.00390625" style="106" customWidth="1"/>
  </cols>
  <sheetData>
    <row r="3" spans="2:8" ht="13.5" customHeight="1">
      <c r="B3" s="107" t="s">
        <v>82</v>
      </c>
      <c r="D3" t="s">
        <v>79</v>
      </c>
      <c r="G3" s="133" t="s">
        <v>74</v>
      </c>
      <c r="H3" t="s">
        <v>80</v>
      </c>
    </row>
    <row r="4" ht="13.5" customHeight="1">
      <c r="D4" t="s">
        <v>81</v>
      </c>
    </row>
    <row r="5" ht="13.5" customHeight="1">
      <c r="D5" t="s">
        <v>83</v>
      </c>
    </row>
    <row r="7" spans="4:18" ht="13.5" customHeight="1">
      <c r="D7" t="s">
        <v>67</v>
      </c>
      <c r="E7" t="s">
        <v>77</v>
      </c>
      <c r="P7" t="s">
        <v>68</v>
      </c>
      <c r="Q7"/>
      <c r="R7" t="s">
        <v>69</v>
      </c>
    </row>
    <row r="8" spans="4:18" ht="13.5" customHeight="1">
      <c r="D8" t="s">
        <v>66</v>
      </c>
      <c r="E8" s="126" t="s">
        <v>84</v>
      </c>
      <c r="P8" s="110" t="s">
        <v>70</v>
      </c>
      <c r="Q8" s="108"/>
      <c r="R8" t="s">
        <v>71</v>
      </c>
    </row>
    <row r="10" spans="2:18" s="111" customFormat="1" ht="13.5">
      <c r="B10" s="112" t="s">
        <v>60</v>
      </c>
      <c r="C10" s="134" t="s">
        <v>22</v>
      </c>
      <c r="D10" s="113" t="s">
        <v>62</v>
      </c>
      <c r="E10" s="159" t="s">
        <v>23</v>
      </c>
      <c r="F10" s="159" t="s">
        <v>24</v>
      </c>
      <c r="G10" s="160" t="s">
        <v>25</v>
      </c>
      <c r="H10" s="161" t="s">
        <v>26</v>
      </c>
      <c r="I10" s="162" t="s">
        <v>27</v>
      </c>
      <c r="J10" s="119" t="s">
        <v>78</v>
      </c>
      <c r="K10" s="117" t="s">
        <v>64</v>
      </c>
      <c r="L10" s="164" t="s">
        <v>61</v>
      </c>
      <c r="M10" s="157" t="s">
        <v>72</v>
      </c>
      <c r="N10" s="157" t="s">
        <v>56</v>
      </c>
      <c r="O10" s="158" t="s">
        <v>65</v>
      </c>
      <c r="P10" s="111" t="s">
        <v>73</v>
      </c>
      <c r="Q10" s="114" t="s">
        <v>57</v>
      </c>
      <c r="R10" s="115" t="s">
        <v>59</v>
      </c>
    </row>
    <row r="11" spans="1:18" s="126" customFormat="1" ht="13.5">
      <c r="A11" s="123">
        <v>1</v>
      </c>
      <c r="B11" s="124">
        <v>1000000</v>
      </c>
      <c r="C11" s="132" t="s">
        <v>63</v>
      </c>
      <c r="D11" s="125">
        <f>Q11*0.1</f>
        <v>0.21000000000000002</v>
      </c>
      <c r="E11" s="126" t="s">
        <v>75</v>
      </c>
      <c r="F11" s="154">
        <v>40288</v>
      </c>
      <c r="G11" s="138">
        <v>93.595</v>
      </c>
      <c r="H11" s="154">
        <v>40295</v>
      </c>
      <c r="I11" s="138">
        <v>93.595</v>
      </c>
      <c r="J11" s="127">
        <f>IF(C11="買",I11-G11,G11-I11)*100</f>
        <v>0</v>
      </c>
      <c r="K11" s="168">
        <f>(J11*R11)</f>
        <v>0</v>
      </c>
      <c r="L11" s="165">
        <v>92.684</v>
      </c>
      <c r="M11" s="126">
        <v>0.02</v>
      </c>
      <c r="N11" s="129">
        <f>(G11-L11)*100</f>
        <v>91.10000000000014</v>
      </c>
      <c r="O11" s="130">
        <f>B11*0.02</f>
        <v>20000</v>
      </c>
      <c r="P11" s="126">
        <v>100</v>
      </c>
      <c r="Q11" s="129">
        <f>ROUNDDOWN(B11*M11/N11/P11,1)</f>
        <v>2.1</v>
      </c>
      <c r="R11" s="131">
        <f>Q11*100</f>
        <v>210</v>
      </c>
    </row>
    <row r="12" spans="1:18" s="126" customFormat="1" ht="13.5">
      <c r="A12" s="123">
        <v>2</v>
      </c>
      <c r="B12" s="124">
        <f>B11+K11</f>
        <v>1000000</v>
      </c>
      <c r="C12" s="132" t="s">
        <v>63</v>
      </c>
      <c r="D12" s="125">
        <f aca="true" t="shared" si="0" ref="D12:D30">Q12*0.1</f>
        <v>0.21000000000000002</v>
      </c>
      <c r="E12" s="126" t="s">
        <v>75</v>
      </c>
      <c r="F12" s="154">
        <v>40319</v>
      </c>
      <c r="G12" s="138">
        <v>94.781</v>
      </c>
      <c r="H12" s="154">
        <v>40302</v>
      </c>
      <c r="I12" s="139">
        <v>93.783</v>
      </c>
      <c r="J12" s="127">
        <f aca="true" t="shared" si="1" ref="J12:J30">IF(C12="買",I12-G12,G12-I12)*100</f>
        <v>-99.80000000000047</v>
      </c>
      <c r="K12" s="168">
        <f>(J12*R12)</f>
        <v>-20958.0000000001</v>
      </c>
      <c r="L12" s="139">
        <v>93.783</v>
      </c>
      <c r="M12" s="126">
        <v>0.02</v>
      </c>
      <c r="N12" s="129">
        <f>(G12-L12)*100</f>
        <v>99.80000000000047</v>
      </c>
      <c r="O12" s="130">
        <f aca="true" t="shared" si="2" ref="O12:O30">B12*0.02</f>
        <v>20000</v>
      </c>
      <c r="P12" s="126">
        <v>100</v>
      </c>
      <c r="Q12" s="129">
        <f aca="true" t="shared" si="3" ref="Q12:Q18">ROUNDDOWN(B12*M12/N11/P12,1)</f>
        <v>2.1</v>
      </c>
      <c r="R12" s="131">
        <f>Q12*100</f>
        <v>210</v>
      </c>
    </row>
    <row r="13" spans="1:18" s="126" customFormat="1" ht="13.5">
      <c r="A13" s="123">
        <v>3</v>
      </c>
      <c r="B13" s="124">
        <f>B12+K12</f>
        <v>979041.9999999999</v>
      </c>
      <c r="C13" s="135" t="s">
        <v>76</v>
      </c>
      <c r="D13" s="125">
        <f t="shared" si="0"/>
        <v>0.19</v>
      </c>
      <c r="E13" s="126" t="s">
        <v>75</v>
      </c>
      <c r="F13" s="154">
        <v>40312</v>
      </c>
      <c r="G13" s="138">
        <v>91.993</v>
      </c>
      <c r="H13" s="154">
        <v>40325</v>
      </c>
      <c r="I13" s="139">
        <v>90.636</v>
      </c>
      <c r="J13" s="127">
        <f t="shared" si="1"/>
        <v>135.69999999999993</v>
      </c>
      <c r="K13" s="168">
        <f>(J13*R13)</f>
        <v>25782.999999999985</v>
      </c>
      <c r="L13" s="139">
        <v>92.973</v>
      </c>
      <c r="M13" s="126">
        <v>0.02</v>
      </c>
      <c r="N13" s="129">
        <f>(G13-L13)*100</f>
        <v>-98.0000000000004</v>
      </c>
      <c r="O13" s="130">
        <f t="shared" si="2"/>
        <v>19580.839999999997</v>
      </c>
      <c r="P13" s="126">
        <v>100</v>
      </c>
      <c r="Q13" s="129">
        <f t="shared" si="3"/>
        <v>1.9</v>
      </c>
      <c r="R13" s="131">
        <f>Q13*100</f>
        <v>190</v>
      </c>
    </row>
    <row r="14" spans="1:18" s="126" customFormat="1" ht="13.5">
      <c r="A14" s="123">
        <v>4</v>
      </c>
      <c r="B14" s="124">
        <f>B13+K13</f>
        <v>1004824.9999999999</v>
      </c>
      <c r="C14" s="132" t="s">
        <v>63</v>
      </c>
      <c r="D14" s="125">
        <f t="shared" si="0"/>
        <v>-0.2</v>
      </c>
      <c r="E14" s="126" t="s">
        <v>75</v>
      </c>
      <c r="F14" s="154">
        <v>40326</v>
      </c>
      <c r="G14" s="138">
        <v>92.37</v>
      </c>
      <c r="H14" s="154">
        <v>40337</v>
      </c>
      <c r="I14" s="138">
        <v>90.825</v>
      </c>
      <c r="J14" s="127">
        <f t="shared" si="1"/>
        <v>-154.50000000000017</v>
      </c>
      <c r="K14" s="128">
        <f>(J14*R14)*-1</f>
        <v>-30900.000000000033</v>
      </c>
      <c r="L14" s="138">
        <v>90.825</v>
      </c>
      <c r="M14" s="126">
        <v>0.02</v>
      </c>
      <c r="N14" s="129">
        <f>(G14-L14)*100</f>
        <v>154.50000000000017</v>
      </c>
      <c r="O14" s="130">
        <f t="shared" si="2"/>
        <v>20096.499999999996</v>
      </c>
      <c r="P14" s="126">
        <v>100</v>
      </c>
      <c r="Q14" s="129">
        <f t="shared" si="3"/>
        <v>-2</v>
      </c>
      <c r="R14" s="131">
        <f>Q14*100</f>
        <v>-200</v>
      </c>
    </row>
    <row r="15" spans="1:18" s="126" customFormat="1" ht="13.5">
      <c r="A15" s="123">
        <v>5</v>
      </c>
      <c r="B15" s="124">
        <f aca="true" t="shared" si="4" ref="B15:B31">B14+K14</f>
        <v>973924.9999999999</v>
      </c>
      <c r="C15" s="135" t="s">
        <v>76</v>
      </c>
      <c r="D15" s="125">
        <f t="shared" si="0"/>
        <v>0.12</v>
      </c>
      <c r="E15" s="126" t="s">
        <v>75</v>
      </c>
      <c r="F15" s="154">
        <v>40413</v>
      </c>
      <c r="G15" s="138">
        <v>82.024</v>
      </c>
      <c r="H15" s="154">
        <v>40419</v>
      </c>
      <c r="I15" s="138">
        <v>82.024</v>
      </c>
      <c r="J15" s="127">
        <f t="shared" si="1"/>
        <v>0</v>
      </c>
      <c r="K15" s="168">
        <f>(J15*R15)</f>
        <v>0</v>
      </c>
      <c r="L15" s="139">
        <v>85.724</v>
      </c>
      <c r="M15" s="126">
        <v>0.02</v>
      </c>
      <c r="N15" s="169">
        <f>(G15-L15)*100</f>
        <v>-370.0000000000003</v>
      </c>
      <c r="O15" s="130">
        <f t="shared" si="2"/>
        <v>19478.499999999996</v>
      </c>
      <c r="P15" s="126">
        <v>100</v>
      </c>
      <c r="Q15" s="129">
        <f t="shared" si="3"/>
        <v>1.2</v>
      </c>
      <c r="R15" s="131">
        <f aca="true" t="shared" si="5" ref="R15:R30">Q15*100</f>
        <v>120</v>
      </c>
    </row>
    <row r="16" spans="1:18" s="126" customFormat="1" ht="13.5">
      <c r="A16" s="123">
        <v>6</v>
      </c>
      <c r="B16" s="124">
        <f t="shared" si="4"/>
        <v>973924.9999999999</v>
      </c>
      <c r="C16" s="135" t="s">
        <v>76</v>
      </c>
      <c r="D16" s="125">
        <f t="shared" si="0"/>
        <v>-0.05</v>
      </c>
      <c r="E16" s="126" t="s">
        <v>75</v>
      </c>
      <c r="F16" s="154">
        <v>40444</v>
      </c>
      <c r="G16" s="145">
        <v>84.053</v>
      </c>
      <c r="H16" s="154">
        <v>40470</v>
      </c>
      <c r="I16" s="139">
        <v>81.879</v>
      </c>
      <c r="J16" s="127">
        <f t="shared" si="1"/>
        <v>217.39999999999924</v>
      </c>
      <c r="K16" s="128">
        <f>(J16*R16)*-1</f>
        <v>10869.999999999962</v>
      </c>
      <c r="L16" s="139">
        <v>85.376</v>
      </c>
      <c r="M16" s="126">
        <v>0.02</v>
      </c>
      <c r="N16" s="129">
        <f>IF(H16="買",L16-G16,G16-L16)*100</f>
        <v>-132.30000000000075</v>
      </c>
      <c r="O16" s="130">
        <f t="shared" si="2"/>
        <v>19478.499999999996</v>
      </c>
      <c r="P16" s="126">
        <v>100</v>
      </c>
      <c r="Q16" s="129">
        <f t="shared" si="3"/>
        <v>-0.5</v>
      </c>
      <c r="R16" s="131">
        <f t="shared" si="5"/>
        <v>-50</v>
      </c>
    </row>
    <row r="17" spans="1:18" s="126" customFormat="1" ht="13.5">
      <c r="A17" s="123">
        <v>7</v>
      </c>
      <c r="B17" s="124">
        <f t="shared" si="4"/>
        <v>984794.9999999999</v>
      </c>
      <c r="C17" s="135" t="s">
        <v>76</v>
      </c>
      <c r="D17" s="125">
        <f t="shared" si="0"/>
        <v>-0.13999999999999999</v>
      </c>
      <c r="E17" s="126" t="s">
        <v>75</v>
      </c>
      <c r="F17" s="154">
        <v>40456</v>
      </c>
      <c r="G17" s="138">
        <v>82.834</v>
      </c>
      <c r="H17" s="154">
        <v>40470</v>
      </c>
      <c r="I17" s="139">
        <v>81.879</v>
      </c>
      <c r="J17" s="127">
        <f t="shared" si="1"/>
        <v>95.49999999999983</v>
      </c>
      <c r="K17" s="128">
        <f>(J17*R17)*-1</f>
        <v>13369.999999999976</v>
      </c>
      <c r="L17" s="139">
        <v>83.979</v>
      </c>
      <c r="M17" s="126">
        <v>0.02</v>
      </c>
      <c r="N17" s="129">
        <f>IF(H17="買",L17-G17,G17-L17)*100</f>
        <v>-114.4999999999996</v>
      </c>
      <c r="O17" s="130">
        <f t="shared" si="2"/>
        <v>19695.899999999998</v>
      </c>
      <c r="P17" s="126">
        <v>100</v>
      </c>
      <c r="Q17" s="129">
        <f t="shared" si="3"/>
        <v>-1.4</v>
      </c>
      <c r="R17" s="131">
        <f t="shared" si="5"/>
        <v>-140</v>
      </c>
    </row>
    <row r="18" spans="1:18" s="126" customFormat="1" ht="13.5">
      <c r="A18" s="123">
        <v>8</v>
      </c>
      <c r="B18" s="124">
        <f t="shared" si="4"/>
        <v>998164.9999999999</v>
      </c>
      <c r="C18" s="132" t="s">
        <v>63</v>
      </c>
      <c r="D18" s="125">
        <f t="shared" si="0"/>
        <v>-0.17</v>
      </c>
      <c r="E18" s="126" t="s">
        <v>75</v>
      </c>
      <c r="F18" s="154">
        <v>40481</v>
      </c>
      <c r="G18" s="138">
        <v>81.606</v>
      </c>
      <c r="H18" s="154">
        <v>40502</v>
      </c>
      <c r="I18" s="138">
        <v>83.052</v>
      </c>
      <c r="J18" s="127">
        <f t="shared" si="1"/>
        <v>144.60000000000122</v>
      </c>
      <c r="K18" s="128">
        <f>(J18*R18)*-1</f>
        <v>24582.000000000207</v>
      </c>
      <c r="L18" s="138">
        <v>80.46</v>
      </c>
      <c r="M18" s="126">
        <v>0.02</v>
      </c>
      <c r="N18" s="129">
        <f>IF(H18="買",L18-G18,G18-L18)*100</f>
        <v>114.60000000000008</v>
      </c>
      <c r="O18" s="130">
        <f t="shared" si="2"/>
        <v>19963.3</v>
      </c>
      <c r="P18" s="126">
        <v>100</v>
      </c>
      <c r="Q18" s="129">
        <f t="shared" si="3"/>
        <v>-1.7</v>
      </c>
      <c r="R18" s="131">
        <f t="shared" si="5"/>
        <v>-170</v>
      </c>
    </row>
    <row r="19" spans="1:18" s="126" customFormat="1" ht="13.5">
      <c r="A19" s="123">
        <v>9</v>
      </c>
      <c r="B19" s="124">
        <f t="shared" si="4"/>
        <v>1022747.0000000001</v>
      </c>
      <c r="C19" s="132" t="s">
        <v>63</v>
      </c>
      <c r="D19" s="125">
        <f t="shared" si="0"/>
        <v>-0.16000000000000003</v>
      </c>
      <c r="E19" s="126" t="s">
        <v>75</v>
      </c>
      <c r="F19" s="170">
        <v>40504</v>
      </c>
      <c r="G19" s="139">
        <v>83.734</v>
      </c>
      <c r="H19" s="170">
        <v>40512</v>
      </c>
      <c r="I19" s="139">
        <v>83.734</v>
      </c>
      <c r="J19" s="127">
        <f t="shared" si="1"/>
        <v>0</v>
      </c>
      <c r="K19" s="128">
        <f>(J19*R19)*-1</f>
        <v>0</v>
      </c>
      <c r="L19" s="139">
        <v>82.834</v>
      </c>
      <c r="M19" s="126">
        <v>0.02</v>
      </c>
      <c r="N19" s="129">
        <f>(G18-L19)*100</f>
        <v>-122.80000000000086</v>
      </c>
      <c r="O19" s="130">
        <f t="shared" si="2"/>
        <v>20454.940000000002</v>
      </c>
      <c r="P19" s="126">
        <v>100</v>
      </c>
      <c r="Q19" s="129">
        <f aca="true" t="shared" si="6" ref="Q19:Q30">ROUNDDOWN(B19*M19/N19/P19,1)</f>
        <v>-1.6</v>
      </c>
      <c r="R19" s="131">
        <f t="shared" si="5"/>
        <v>-160</v>
      </c>
    </row>
    <row r="20" spans="1:18" s="126" customFormat="1" ht="13.5">
      <c r="A20" s="123">
        <v>10</v>
      </c>
      <c r="B20" s="124">
        <f t="shared" si="4"/>
        <v>1022747.0000000001</v>
      </c>
      <c r="C20" s="135" t="s">
        <v>76</v>
      </c>
      <c r="D20" s="125">
        <f t="shared" si="0"/>
        <v>-0.33</v>
      </c>
      <c r="E20" s="126" t="s">
        <v>75</v>
      </c>
      <c r="F20" s="170">
        <v>40503</v>
      </c>
      <c r="G20" s="138">
        <v>83.304</v>
      </c>
      <c r="H20" s="170">
        <v>40548</v>
      </c>
      <c r="I20" s="138">
        <v>83.304</v>
      </c>
      <c r="J20" s="127">
        <f t="shared" si="1"/>
        <v>0</v>
      </c>
      <c r="K20" s="168">
        <f>(J20*R20)</f>
        <v>0</v>
      </c>
      <c r="L20" s="166">
        <v>83.913</v>
      </c>
      <c r="M20" s="126">
        <v>0.02</v>
      </c>
      <c r="N20" s="129">
        <f aca="true" t="shared" si="7" ref="N20:N30">(G20-L20)*100</f>
        <v>-60.899999999999466</v>
      </c>
      <c r="O20" s="130">
        <f t="shared" si="2"/>
        <v>20454.940000000002</v>
      </c>
      <c r="P20" s="126">
        <v>100</v>
      </c>
      <c r="Q20" s="129">
        <f t="shared" si="6"/>
        <v>-3.3</v>
      </c>
      <c r="R20" s="131">
        <f t="shared" si="5"/>
        <v>-330</v>
      </c>
    </row>
    <row r="21" spans="1:18" s="126" customFormat="1" ht="13.5">
      <c r="A21" s="123">
        <v>11</v>
      </c>
      <c r="B21" s="124">
        <f t="shared" si="4"/>
        <v>1022747.0000000001</v>
      </c>
      <c r="C21" s="135" t="s">
        <v>76</v>
      </c>
      <c r="D21" s="125">
        <f t="shared" si="0"/>
        <v>-0.2</v>
      </c>
      <c r="E21" s="126" t="s">
        <v>75</v>
      </c>
      <c r="F21" s="170">
        <v>40663</v>
      </c>
      <c r="G21" s="138">
        <v>81.286</v>
      </c>
      <c r="H21" s="170">
        <v>40663</v>
      </c>
      <c r="I21" s="137">
        <v>82.28</v>
      </c>
      <c r="J21" s="127">
        <f t="shared" si="1"/>
        <v>-99.39999999999998</v>
      </c>
      <c r="K21" s="128">
        <f>(J21*R21)*-1</f>
        <v>-19879.999999999996</v>
      </c>
      <c r="L21" s="137">
        <v>82.28</v>
      </c>
      <c r="M21" s="126">
        <v>0.02</v>
      </c>
      <c r="N21" s="129">
        <f t="shared" si="7"/>
        <v>-99.39999999999998</v>
      </c>
      <c r="O21" s="130">
        <f t="shared" si="2"/>
        <v>20454.940000000002</v>
      </c>
      <c r="P21" s="126">
        <v>100</v>
      </c>
      <c r="Q21" s="129">
        <f t="shared" si="6"/>
        <v>-2</v>
      </c>
      <c r="R21" s="131">
        <f t="shared" si="5"/>
        <v>-200</v>
      </c>
    </row>
    <row r="22" spans="1:18" s="126" customFormat="1" ht="13.5">
      <c r="A22" s="123">
        <v>12</v>
      </c>
      <c r="B22" s="124">
        <f t="shared" si="4"/>
        <v>1002867.0000000001</v>
      </c>
      <c r="C22" s="135" t="s">
        <v>76</v>
      </c>
      <c r="D22" s="125">
        <f t="shared" si="0"/>
        <v>-0.19</v>
      </c>
      <c r="E22" s="126" t="s">
        <v>75</v>
      </c>
      <c r="F22" s="153">
        <v>40695</v>
      </c>
      <c r="G22" s="138">
        <v>80.561</v>
      </c>
      <c r="H22" s="153">
        <v>40707</v>
      </c>
      <c r="I22" s="138">
        <v>80.561</v>
      </c>
      <c r="J22" s="127">
        <f t="shared" si="1"/>
        <v>0</v>
      </c>
      <c r="K22" s="128">
        <f aca="true" t="shared" si="8" ref="K22:K29">(J22*R22)*-1</f>
        <v>0</v>
      </c>
      <c r="L22" s="166">
        <v>81.589</v>
      </c>
      <c r="M22" s="126">
        <v>0.02</v>
      </c>
      <c r="N22" s="129">
        <f t="shared" si="7"/>
        <v>-102.79999999999916</v>
      </c>
      <c r="O22" s="130">
        <f t="shared" si="2"/>
        <v>20057.340000000004</v>
      </c>
      <c r="P22" s="126">
        <v>100</v>
      </c>
      <c r="Q22" s="129">
        <f t="shared" si="6"/>
        <v>-1.9</v>
      </c>
      <c r="R22" s="131">
        <f t="shared" si="5"/>
        <v>-190</v>
      </c>
    </row>
    <row r="23" spans="1:18" s="126" customFormat="1" ht="13.5">
      <c r="A23" s="123">
        <v>13</v>
      </c>
      <c r="B23" s="124">
        <f t="shared" si="4"/>
        <v>1002867.0000000001</v>
      </c>
      <c r="C23" s="135" t="s">
        <v>76</v>
      </c>
      <c r="D23" s="125">
        <f t="shared" si="0"/>
        <v>-0.19</v>
      </c>
      <c r="E23" s="126" t="s">
        <v>75</v>
      </c>
      <c r="F23" s="153">
        <v>40732</v>
      </c>
      <c r="G23" s="138">
        <v>80.393</v>
      </c>
      <c r="H23" s="153">
        <v>40756</v>
      </c>
      <c r="I23" s="137">
        <v>78.015</v>
      </c>
      <c r="J23" s="127">
        <f t="shared" si="1"/>
        <v>237.8</v>
      </c>
      <c r="K23" s="128">
        <f t="shared" si="8"/>
        <v>45182</v>
      </c>
      <c r="L23" s="137">
        <v>81.437</v>
      </c>
      <c r="M23" s="126">
        <v>0.02</v>
      </c>
      <c r="N23" s="129">
        <f t="shared" si="7"/>
        <v>-104.3999999999997</v>
      </c>
      <c r="O23" s="130">
        <f t="shared" si="2"/>
        <v>20057.340000000004</v>
      </c>
      <c r="P23" s="126">
        <v>100</v>
      </c>
      <c r="Q23" s="129">
        <f t="shared" si="6"/>
        <v>-1.9</v>
      </c>
      <c r="R23" s="131">
        <f t="shared" si="5"/>
        <v>-190</v>
      </c>
    </row>
    <row r="24" spans="1:18" s="126" customFormat="1" ht="13.5">
      <c r="A24" s="123">
        <v>14</v>
      </c>
      <c r="B24" s="124">
        <f t="shared" si="4"/>
        <v>1048049.0000000001</v>
      </c>
      <c r="C24" s="132" t="s">
        <v>63</v>
      </c>
      <c r="D24" s="125">
        <f t="shared" si="0"/>
        <v>0.47000000000000003</v>
      </c>
      <c r="E24" s="126" t="s">
        <v>75</v>
      </c>
      <c r="F24" s="153">
        <v>40745</v>
      </c>
      <c r="G24" s="138">
        <v>78.088</v>
      </c>
      <c r="H24" s="153">
        <v>40749</v>
      </c>
      <c r="I24" s="137">
        <v>77.651</v>
      </c>
      <c r="J24" s="127">
        <f t="shared" si="1"/>
        <v>-43.69999999999976</v>
      </c>
      <c r="K24" s="168">
        <f>(J24*R24)</f>
        <v>-20538.999999999887</v>
      </c>
      <c r="L24" s="137">
        <v>77.651</v>
      </c>
      <c r="M24" s="126">
        <v>0.02</v>
      </c>
      <c r="N24" s="129">
        <f t="shared" si="7"/>
        <v>43.69999999999976</v>
      </c>
      <c r="O24" s="130">
        <f t="shared" si="2"/>
        <v>20960.980000000003</v>
      </c>
      <c r="P24" s="126">
        <v>100</v>
      </c>
      <c r="Q24" s="129">
        <f t="shared" si="6"/>
        <v>4.7</v>
      </c>
      <c r="R24" s="131">
        <f t="shared" si="5"/>
        <v>470</v>
      </c>
    </row>
    <row r="25" spans="1:18" s="126" customFormat="1" ht="13.5">
      <c r="A25" s="123">
        <v>15</v>
      </c>
      <c r="B25" s="124">
        <f t="shared" si="4"/>
        <v>1027510.0000000002</v>
      </c>
      <c r="C25" s="132" t="s">
        <v>63</v>
      </c>
      <c r="D25" s="125">
        <f t="shared" si="0"/>
        <v>0.43</v>
      </c>
      <c r="E25" s="126" t="s">
        <v>75</v>
      </c>
      <c r="F25" s="153">
        <v>40868</v>
      </c>
      <c r="G25" s="138">
        <v>78.125</v>
      </c>
      <c r="H25" s="153">
        <v>40875</v>
      </c>
      <c r="I25" s="137">
        <v>77.653</v>
      </c>
      <c r="J25" s="127">
        <f t="shared" si="1"/>
        <v>-47.19999999999942</v>
      </c>
      <c r="K25" s="168">
        <f>(J25*R25)</f>
        <v>-20295.99999999975</v>
      </c>
      <c r="L25" s="166">
        <v>77.653</v>
      </c>
      <c r="M25" s="126">
        <v>0.02</v>
      </c>
      <c r="N25" s="129">
        <f t="shared" si="7"/>
        <v>47.19999999999942</v>
      </c>
      <c r="O25" s="130">
        <f t="shared" si="2"/>
        <v>20550.200000000004</v>
      </c>
      <c r="P25" s="126">
        <v>100</v>
      </c>
      <c r="Q25" s="129">
        <f t="shared" si="6"/>
        <v>4.3</v>
      </c>
      <c r="R25" s="131">
        <f t="shared" si="5"/>
        <v>430</v>
      </c>
    </row>
    <row r="26" spans="1:18" s="126" customFormat="1" ht="13.5">
      <c r="A26" s="123">
        <v>16</v>
      </c>
      <c r="B26" s="124">
        <f t="shared" si="4"/>
        <v>1007214.0000000005</v>
      </c>
      <c r="C26" s="132" t="s">
        <v>63</v>
      </c>
      <c r="D26" s="125">
        <f t="shared" si="0"/>
        <v>0.17</v>
      </c>
      <c r="E26" s="126" t="s">
        <v>75</v>
      </c>
      <c r="F26" s="153">
        <v>40967</v>
      </c>
      <c r="G26" s="138">
        <v>81.327</v>
      </c>
      <c r="H26" s="153">
        <v>41045</v>
      </c>
      <c r="I26" s="137">
        <v>83.006</v>
      </c>
      <c r="J26" s="127">
        <f t="shared" si="1"/>
        <v>167.9000000000002</v>
      </c>
      <c r="K26" s="168">
        <f>(J26*R26)</f>
        <v>28543.000000000036</v>
      </c>
      <c r="L26" s="167">
        <v>80.2</v>
      </c>
      <c r="M26" s="126">
        <v>0.02</v>
      </c>
      <c r="N26" s="129">
        <f t="shared" si="7"/>
        <v>112.69999999999953</v>
      </c>
      <c r="O26" s="130">
        <f t="shared" si="2"/>
        <v>20144.28000000001</v>
      </c>
      <c r="P26" s="126">
        <v>100</v>
      </c>
      <c r="Q26" s="129">
        <f t="shared" si="6"/>
        <v>1.7</v>
      </c>
      <c r="R26" s="131">
        <f t="shared" si="5"/>
        <v>170</v>
      </c>
    </row>
    <row r="27" spans="1:18" s="126" customFormat="1" ht="13.5">
      <c r="A27" s="123">
        <v>17</v>
      </c>
      <c r="B27" s="124">
        <f t="shared" si="4"/>
        <v>1035757.0000000005</v>
      </c>
      <c r="C27" s="135" t="s">
        <v>76</v>
      </c>
      <c r="D27" s="125">
        <f>Q27*0.1</f>
        <v>-0.22999999999999998</v>
      </c>
      <c r="E27" s="126" t="s">
        <v>75</v>
      </c>
      <c r="F27" s="153">
        <v>41024</v>
      </c>
      <c r="G27" s="138">
        <v>80.6</v>
      </c>
      <c r="H27" s="153">
        <v>41039</v>
      </c>
      <c r="I27" s="137">
        <v>80.006</v>
      </c>
      <c r="J27" s="127">
        <f t="shared" si="1"/>
        <v>59.39999999999941</v>
      </c>
      <c r="K27" s="128">
        <f>(J27*R27)*-1</f>
        <v>13661.999999999862</v>
      </c>
      <c r="L27" s="167">
        <v>81.492</v>
      </c>
      <c r="M27" s="126">
        <v>0.02</v>
      </c>
      <c r="N27" s="129">
        <f>(G27-L27)*100</f>
        <v>-89.20000000000101</v>
      </c>
      <c r="O27" s="130">
        <f t="shared" si="2"/>
        <v>20715.14000000001</v>
      </c>
      <c r="P27" s="126">
        <v>100</v>
      </c>
      <c r="Q27" s="129">
        <f>ROUNDDOWN(B27*M27/N27/P27,1)</f>
        <v>-2.3</v>
      </c>
      <c r="R27" s="131">
        <f>Q27*100</f>
        <v>-229.99999999999997</v>
      </c>
    </row>
    <row r="28" spans="1:18" s="126" customFormat="1" ht="13.5">
      <c r="A28" s="123">
        <v>18</v>
      </c>
      <c r="B28" s="124">
        <f t="shared" si="4"/>
        <v>1049419.0000000002</v>
      </c>
      <c r="C28" s="135" t="s">
        <v>76</v>
      </c>
      <c r="D28" s="125">
        <f t="shared" si="0"/>
        <v>-0.15000000000000002</v>
      </c>
      <c r="E28" s="126" t="s">
        <v>75</v>
      </c>
      <c r="F28" s="153">
        <v>41044</v>
      </c>
      <c r="G28" s="138">
        <v>79.086</v>
      </c>
      <c r="H28" s="153">
        <v>41064</v>
      </c>
      <c r="I28" s="137">
        <v>78.436</v>
      </c>
      <c r="J28" s="127">
        <f t="shared" si="1"/>
        <v>64.99999999999915</v>
      </c>
      <c r="K28" s="128">
        <f t="shared" si="8"/>
        <v>9749.999999999873</v>
      </c>
      <c r="L28" s="166">
        <v>80.429</v>
      </c>
      <c r="M28" s="126">
        <v>0.02</v>
      </c>
      <c r="N28" s="129">
        <f t="shared" si="7"/>
        <v>-134.30000000000035</v>
      </c>
      <c r="O28" s="130">
        <f t="shared" si="2"/>
        <v>20988.380000000005</v>
      </c>
      <c r="P28" s="126">
        <v>100</v>
      </c>
      <c r="Q28" s="129">
        <f t="shared" si="6"/>
        <v>-1.5</v>
      </c>
      <c r="R28" s="131">
        <f t="shared" si="5"/>
        <v>-150</v>
      </c>
    </row>
    <row r="29" spans="1:18" s="126" customFormat="1" ht="13.5">
      <c r="A29" s="123">
        <v>19</v>
      </c>
      <c r="B29" s="124">
        <f t="shared" si="4"/>
        <v>1059169</v>
      </c>
      <c r="C29" s="135" t="s">
        <v>76</v>
      </c>
      <c r="D29" s="125">
        <f t="shared" si="0"/>
        <v>-0.25</v>
      </c>
      <c r="E29" s="126" t="s">
        <v>75</v>
      </c>
      <c r="F29" s="153">
        <v>41103</v>
      </c>
      <c r="G29" s="138">
        <v>79.131</v>
      </c>
      <c r="H29" s="153">
        <v>41115</v>
      </c>
      <c r="I29" s="137">
        <v>78.361</v>
      </c>
      <c r="J29" s="127">
        <f t="shared" si="1"/>
        <v>76.9999999999996</v>
      </c>
      <c r="K29" s="128">
        <f t="shared" si="8"/>
        <v>19249.9999999999</v>
      </c>
      <c r="L29" s="166">
        <v>79.946</v>
      </c>
      <c r="M29" s="126">
        <v>0.02</v>
      </c>
      <c r="N29" s="129">
        <f t="shared" si="7"/>
        <v>-81.49999999999977</v>
      </c>
      <c r="O29" s="130">
        <f t="shared" si="2"/>
        <v>21183.38</v>
      </c>
      <c r="P29" s="126">
        <v>100</v>
      </c>
      <c r="Q29" s="129">
        <f t="shared" si="6"/>
        <v>-2.5</v>
      </c>
      <c r="R29" s="131">
        <f t="shared" si="5"/>
        <v>-250</v>
      </c>
    </row>
    <row r="30" spans="1:18" s="126" customFormat="1" ht="13.5">
      <c r="A30" s="123">
        <v>20</v>
      </c>
      <c r="B30" s="124">
        <f t="shared" si="4"/>
        <v>1078419</v>
      </c>
      <c r="C30" s="132" t="s">
        <v>63</v>
      </c>
      <c r="D30" s="125">
        <f t="shared" si="0"/>
        <v>0.22000000000000003</v>
      </c>
      <c r="E30" s="126" t="s">
        <v>75</v>
      </c>
      <c r="F30" s="153">
        <v>41227</v>
      </c>
      <c r="G30" s="138">
        <v>80.322</v>
      </c>
      <c r="H30" s="153">
        <v>41325</v>
      </c>
      <c r="I30" s="137">
        <v>92.171</v>
      </c>
      <c r="J30" s="127">
        <f t="shared" si="1"/>
        <v>1184.9000000000003</v>
      </c>
      <c r="K30" s="168">
        <f>(J30*R30)</f>
        <v>260678.00000000012</v>
      </c>
      <c r="L30" s="166">
        <v>79.343</v>
      </c>
      <c r="M30" s="126">
        <v>0.02</v>
      </c>
      <c r="N30" s="129">
        <f t="shared" si="7"/>
        <v>97.89999999999992</v>
      </c>
      <c r="O30" s="130">
        <f t="shared" si="2"/>
        <v>21568.38</v>
      </c>
      <c r="P30" s="126">
        <v>100</v>
      </c>
      <c r="Q30" s="129">
        <f t="shared" si="6"/>
        <v>2.2</v>
      </c>
      <c r="R30" s="131">
        <f t="shared" si="5"/>
        <v>220.00000000000003</v>
      </c>
    </row>
    <row r="31" spans="1:14" ht="13.5">
      <c r="A31" s="123">
        <v>20</v>
      </c>
      <c r="B31" s="124">
        <f t="shared" si="4"/>
        <v>1339097</v>
      </c>
      <c r="J31" s="120">
        <f>SUM(J11:J30)</f>
        <v>1940.599999999999</v>
      </c>
      <c r="K31" s="121">
        <f>SUM(K11:K30)</f>
        <v>339097.0000000001</v>
      </c>
      <c r="N31" s="105"/>
    </row>
    <row r="32" ht="13.5">
      <c r="J32" s="120"/>
    </row>
    <row r="33" spans="10:11" ht="13.5">
      <c r="J33" s="121" t="s">
        <v>58</v>
      </c>
      <c r="K33" s="116">
        <f>1000000+K31</f>
        <v>1339097</v>
      </c>
    </row>
    <row r="35" ht="13.5">
      <c r="J35" s="122"/>
    </row>
    <row r="37" ht="13.5" customHeight="1" thickBot="1"/>
    <row r="38" spans="4:8" ht="14.25" thickBot="1">
      <c r="D38" s="104" t="s">
        <v>29</v>
      </c>
      <c r="F38" s="182" t="s">
        <v>30</v>
      </c>
      <c r="G38" s="183"/>
      <c r="H38" s="12" t="s">
        <v>31</v>
      </c>
    </row>
    <row r="39" spans="4:8" ht="13.5">
      <c r="D39" s="3" t="s">
        <v>32</v>
      </c>
      <c r="F39" s="3" t="str">
        <f>DATEDIF(F11,H30,"Y")&amp;"年"&amp;DATEDIF(F11,H30,"YM")&amp;"ヶ月"</f>
        <v>2年10ヶ月</v>
      </c>
      <c r="G39" s="146"/>
      <c r="H39" s="9"/>
    </row>
    <row r="40" spans="4:8" ht="13.5">
      <c r="D40" s="1" t="s">
        <v>33</v>
      </c>
      <c r="F40" s="1">
        <f>COUNTIF(C11:C30,"買")</f>
        <v>9</v>
      </c>
      <c r="G40" s="147"/>
      <c r="H40" s="6"/>
    </row>
    <row r="41" spans="4:8" ht="13.5">
      <c r="D41" s="1" t="s">
        <v>34</v>
      </c>
      <c r="F41" s="1">
        <f>COUNTIF(C11:C31,"売")</f>
        <v>11</v>
      </c>
      <c r="G41" s="147"/>
      <c r="H41" s="6"/>
    </row>
    <row r="42" spans="4:8" ht="13.5">
      <c r="D42" s="1" t="s">
        <v>35</v>
      </c>
      <c r="F42" s="3">
        <v>31</v>
      </c>
      <c r="G42" s="147"/>
      <c r="H42" s="6"/>
    </row>
    <row r="43" spans="4:8" ht="13.5">
      <c r="D43" s="1" t="s">
        <v>36</v>
      </c>
      <c r="F43" s="1">
        <f>COUNTIF(K11:K30,"&gt;0")</f>
        <v>10</v>
      </c>
      <c r="G43" s="147"/>
      <c r="H43" s="6"/>
    </row>
    <row r="44" spans="4:8" ht="13.5">
      <c r="D44" s="1" t="s">
        <v>37</v>
      </c>
      <c r="F44" s="1">
        <f>COUNTIF(K12:K31,"&lt;0")</f>
        <v>5</v>
      </c>
      <c r="G44" s="147"/>
      <c r="H44" s="6"/>
    </row>
    <row r="45" spans="4:8" ht="13.5">
      <c r="D45" s="1" t="s">
        <v>38</v>
      </c>
      <c r="F45" s="1">
        <f>COUNTIF(K13:K32,"=0")</f>
        <v>4</v>
      </c>
      <c r="G45" s="147"/>
      <c r="H45" s="6"/>
    </row>
    <row r="46" spans="4:8" ht="13.5">
      <c r="D46" s="4" t="s">
        <v>39</v>
      </c>
      <c r="F46" s="1">
        <v>0</v>
      </c>
      <c r="G46" s="147"/>
      <c r="H46" s="6"/>
    </row>
    <row r="47" spans="4:8" ht="13.5">
      <c r="D47" s="1" t="s">
        <v>40</v>
      </c>
      <c r="F47" s="155">
        <f>SUMIF(K10:K30,"&gt;0",K10:K30)</f>
        <v>451669.99999999994</v>
      </c>
      <c r="G47" s="147"/>
      <c r="H47" s="6"/>
    </row>
    <row r="48" spans="4:8" ht="13.5">
      <c r="D48" s="1" t="s">
        <v>41</v>
      </c>
      <c r="F48" s="155">
        <f>SUMIF(K11:K30,"&lt;0",K11:K30)</f>
        <v>-112572.99999999977</v>
      </c>
      <c r="G48" s="147"/>
      <c r="H48" s="6"/>
    </row>
    <row r="49" spans="4:8" ht="13.5">
      <c r="D49" s="1" t="s">
        <v>42</v>
      </c>
      <c r="F49" s="156">
        <f>F47+F48</f>
        <v>339097.0000000002</v>
      </c>
      <c r="G49" s="146"/>
      <c r="H49" s="5"/>
    </row>
    <row r="50" spans="4:8" ht="13.5">
      <c r="D50" s="1" t="s">
        <v>15</v>
      </c>
      <c r="F50" s="155">
        <f>F47/F43</f>
        <v>45166.99999999999</v>
      </c>
      <c r="G50" s="147"/>
      <c r="H50" s="6"/>
    </row>
    <row r="51" spans="4:8" ht="13.5">
      <c r="D51" s="1" t="s">
        <v>16</v>
      </c>
      <c r="F51" s="155">
        <f>F48/F44</f>
        <v>-22514.599999999955</v>
      </c>
      <c r="G51" s="147"/>
      <c r="H51" s="6"/>
    </row>
    <row r="52" spans="4:8" ht="13.5">
      <c r="D52" s="1" t="s">
        <v>43</v>
      </c>
      <c r="F52" s="1"/>
      <c r="G52" s="147"/>
      <c r="H52" s="6"/>
    </row>
    <row r="53" spans="4:8" ht="13.5">
      <c r="D53" s="1" t="s">
        <v>44</v>
      </c>
      <c r="F53" s="1"/>
      <c r="G53" s="147"/>
      <c r="H53" s="6"/>
    </row>
    <row r="54" spans="4:8" ht="13.5">
      <c r="D54" s="1" t="s">
        <v>45</v>
      </c>
      <c r="F54" s="1"/>
      <c r="G54" s="147"/>
      <c r="H54" s="6"/>
    </row>
    <row r="55" spans="4:8" ht="14.25" thickBot="1">
      <c r="D55" s="2" t="s">
        <v>14</v>
      </c>
      <c r="F55" s="171">
        <f>F43/F42</f>
        <v>0.3225806451612903</v>
      </c>
      <c r="G55" s="147"/>
      <c r="H55" s="6"/>
    </row>
    <row r="56" spans="4:8" ht="13.5">
      <c r="D56" s="4"/>
      <c r="F56" s="171"/>
      <c r="G56" s="147"/>
      <c r="H56" s="6"/>
    </row>
    <row r="57" spans="6:8" ht="14.25" thickBot="1">
      <c r="F57" s="2"/>
      <c r="G57" s="148"/>
      <c r="H57" s="7"/>
    </row>
    <row r="58" spans="6:8" ht="14.25" thickBot="1">
      <c r="F58" s="17" t="s">
        <v>28</v>
      </c>
      <c r="G58" s="149">
        <f>SUM(G39:G57)</f>
        <v>0</v>
      </c>
      <c r="H58" s="18">
        <f>SUM(H39:H57)</f>
        <v>0</v>
      </c>
    </row>
    <row r="61" spans="6:9" ht="14.25" thickBot="1">
      <c r="F61" s="184" t="s">
        <v>46</v>
      </c>
      <c r="G61" s="185"/>
      <c r="H61" s="11" t="s">
        <v>31</v>
      </c>
      <c r="I61" s="140" t="s">
        <v>47</v>
      </c>
    </row>
    <row r="62" spans="6:9" ht="13.5">
      <c r="F62" s="3" t="s">
        <v>48</v>
      </c>
      <c r="G62" s="146">
        <v>0</v>
      </c>
      <c r="H62" s="10">
        <v>0</v>
      </c>
      <c r="I62" s="141">
        <v>0</v>
      </c>
    </row>
    <row r="63" spans="6:9" ht="13.5">
      <c r="F63" s="1" t="s">
        <v>49</v>
      </c>
      <c r="G63" s="147">
        <v>0</v>
      </c>
      <c r="H63" s="8">
        <v>0</v>
      </c>
      <c r="I63" s="142">
        <v>0</v>
      </c>
    </row>
    <row r="64" spans="6:9" ht="13.5">
      <c r="F64" s="1" t="s">
        <v>50</v>
      </c>
      <c r="G64" s="147">
        <v>0</v>
      </c>
      <c r="H64" s="8">
        <v>0</v>
      </c>
      <c r="I64" s="142">
        <v>0</v>
      </c>
    </row>
    <row r="65" spans="6:9" ht="13.5">
      <c r="F65" s="1" t="s">
        <v>51</v>
      </c>
      <c r="G65" s="147">
        <v>0</v>
      </c>
      <c r="H65" s="8">
        <v>0</v>
      </c>
      <c r="I65" s="142">
        <v>0</v>
      </c>
    </row>
    <row r="66" spans="6:9" ht="14.25" thickBot="1">
      <c r="F66" s="14" t="s">
        <v>52</v>
      </c>
      <c r="G66" s="150">
        <v>0</v>
      </c>
      <c r="H66" s="15">
        <v>0</v>
      </c>
      <c r="I66" s="143">
        <v>0</v>
      </c>
    </row>
    <row r="67" spans="6:9" ht="14.25" thickBot="1">
      <c r="F67" s="13" t="s">
        <v>28</v>
      </c>
      <c r="G67" s="151"/>
      <c r="H67" s="16"/>
      <c r="I67" s="144">
        <f>SUM(I62:I66)</f>
        <v>0</v>
      </c>
    </row>
    <row r="96" ht="13.5" customHeight="1">
      <c r="G96" s="152"/>
    </row>
    <row r="97" ht="13.5" customHeight="1">
      <c r="G97" s="152"/>
    </row>
  </sheetData>
  <sheetProtection/>
  <mergeCells count="2">
    <mergeCell ref="F38:G38"/>
    <mergeCell ref="F61:G61"/>
  </mergeCells>
  <conditionalFormatting sqref="C15:C17 C20:C22 C28 C13">
    <cfRule type="cellIs" priority="40" dxfId="11" operator="equal" stopIfTrue="1">
      <formula>"買"</formula>
    </cfRule>
  </conditionalFormatting>
  <conditionalFormatting sqref="C22">
    <cfRule type="cellIs" priority="10" dxfId="11" operator="equal" stopIfTrue="1">
      <formula>"買"</formula>
    </cfRule>
  </conditionalFormatting>
  <conditionalFormatting sqref="C23">
    <cfRule type="cellIs" priority="9" dxfId="11" operator="equal" stopIfTrue="1">
      <formula>"買"</formula>
    </cfRule>
  </conditionalFormatting>
  <conditionalFormatting sqref="C23">
    <cfRule type="cellIs" priority="8" dxfId="11" operator="equal" stopIfTrue="1">
      <formula>"買"</formula>
    </cfRule>
  </conditionalFormatting>
  <conditionalFormatting sqref="C27">
    <cfRule type="cellIs" priority="7" dxfId="11" operator="equal" stopIfTrue="1">
      <formula>"買"</formula>
    </cfRule>
  </conditionalFormatting>
  <conditionalFormatting sqref="C27">
    <cfRule type="cellIs" priority="6" dxfId="11" operator="equal" stopIfTrue="1">
      <formula>"買"</formula>
    </cfRule>
  </conditionalFormatting>
  <conditionalFormatting sqref="C28">
    <cfRule type="cellIs" priority="5" dxfId="11" operator="equal" stopIfTrue="1">
      <formula>"買"</formula>
    </cfRule>
  </conditionalFormatting>
  <conditionalFormatting sqref="C28">
    <cfRule type="cellIs" priority="4" dxfId="11" operator="equal" stopIfTrue="1">
      <formula>"買"</formula>
    </cfRule>
  </conditionalFormatting>
  <conditionalFormatting sqref="C29">
    <cfRule type="cellIs" priority="3" dxfId="11" operator="equal" stopIfTrue="1">
      <formula>"買"</formula>
    </cfRule>
  </conditionalFormatting>
  <conditionalFormatting sqref="C29">
    <cfRule type="cellIs" priority="2" dxfId="11" operator="equal" stopIfTrue="1">
      <formula>"買"</formula>
    </cfRule>
  </conditionalFormatting>
  <conditionalFormatting sqref="C29">
    <cfRule type="cellIs" priority="1" dxfId="11" operator="equal" stopIfTrue="1">
      <formula>"買"</formula>
    </cfRule>
  </conditionalFormatting>
  <printOptions/>
  <pageMargins left="0.6986111111111111" right="0.6986111111111111"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A42"/>
  <sheetViews>
    <sheetView zoomScalePageLayoutView="0" workbookViewId="0" topLeftCell="A1">
      <selection activeCell="B165" sqref="B165"/>
    </sheetView>
  </sheetViews>
  <sheetFormatPr defaultColWidth="9.00390625" defaultRowHeight="13.5"/>
  <sheetData>
    <row r="1" ht="13.5">
      <c r="A1">
        <v>1</v>
      </c>
    </row>
    <row r="42" ht="13.5">
      <c r="A42">
        <v>2</v>
      </c>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I29"/>
  <sheetViews>
    <sheetView zoomScaleSheetLayoutView="100" zoomScalePageLayoutView="0" workbookViewId="0" topLeftCell="A1">
      <selection activeCell="B29" sqref="B7:B29"/>
    </sheetView>
  </sheetViews>
  <sheetFormatPr defaultColWidth="8.875" defaultRowHeight="13.5"/>
  <cols>
    <col min="1" max="1" width="8.875" style="0" customWidth="1"/>
    <col min="2" max="2" width="67.625" style="0" bestFit="1" customWidth="1"/>
  </cols>
  <sheetData>
    <row r="1" spans="1:9" ht="13.5">
      <c r="A1" s="99" t="s">
        <v>53</v>
      </c>
      <c r="B1" s="100"/>
      <c r="C1" s="100"/>
      <c r="D1" s="100"/>
      <c r="E1" s="100"/>
      <c r="F1" s="100"/>
      <c r="G1" s="100"/>
      <c r="H1" s="100"/>
      <c r="I1" s="103"/>
    </row>
    <row r="2" spans="1:9" ht="14.25" thickBot="1">
      <c r="A2" s="101" t="s">
        <v>54</v>
      </c>
      <c r="B2" s="102"/>
      <c r="C2" s="102"/>
      <c r="D2" s="102"/>
      <c r="E2" s="102"/>
      <c r="F2" s="102"/>
      <c r="G2" s="102"/>
      <c r="H2" s="102"/>
      <c r="I2" s="103"/>
    </row>
    <row r="3" spans="1:4" ht="14.25" thickTop="1">
      <c r="A3" s="98"/>
      <c r="D3" s="98"/>
    </row>
    <row r="7" spans="1:2" ht="13.5">
      <c r="A7" t="s">
        <v>55</v>
      </c>
      <c r="B7" t="s">
        <v>85</v>
      </c>
    </row>
    <row r="8" ht="13.5">
      <c r="B8" t="s">
        <v>86</v>
      </c>
    </row>
    <row r="10" ht="13.5">
      <c r="B10" t="s">
        <v>87</v>
      </c>
    </row>
    <row r="11" ht="13.5">
      <c r="B11" t="s">
        <v>93</v>
      </c>
    </row>
    <row r="13" ht="13.5">
      <c r="B13" t="s">
        <v>88</v>
      </c>
    </row>
    <row r="14" ht="13.5">
      <c r="B14" t="s">
        <v>89</v>
      </c>
    </row>
    <row r="15" ht="13.5">
      <c r="B15" t="s">
        <v>90</v>
      </c>
    </row>
    <row r="16" ht="13.5">
      <c r="B16" t="s">
        <v>94</v>
      </c>
    </row>
    <row r="18" ht="13.5">
      <c r="B18" t="s">
        <v>91</v>
      </c>
    </row>
    <row r="19" ht="13.5">
      <c r="B19" t="s">
        <v>92</v>
      </c>
    </row>
    <row r="21" ht="13.5">
      <c r="B21" t="s">
        <v>95</v>
      </c>
    </row>
    <row r="22" ht="13.5">
      <c r="B22" t="s">
        <v>96</v>
      </c>
    </row>
    <row r="24" ht="13.5">
      <c r="B24" t="s">
        <v>97</v>
      </c>
    </row>
    <row r="25" ht="13.5">
      <c r="B25" t="s">
        <v>98</v>
      </c>
    </row>
    <row r="27" ht="13.5">
      <c r="B27" t="s">
        <v>99</v>
      </c>
    </row>
    <row r="29" ht="13.5">
      <c r="B29" t="s">
        <v>100</v>
      </c>
    </row>
  </sheetData>
  <sheetProtection/>
  <printOptions/>
  <pageMargins left="0.75" right="0.75" top="1" bottom="1" header="0.5111111111111111" footer="0.511111111111111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mh</cp:lastModifiedBy>
  <cp:lastPrinted>1899-12-30T00:00:00Z</cp:lastPrinted>
  <dcterms:created xsi:type="dcterms:W3CDTF">2013-10-09T23:04:08Z</dcterms:created>
  <dcterms:modified xsi:type="dcterms:W3CDTF">2015-08-23T15:13:48Z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