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9335" windowHeight="7335" tabRatio="698" activeTab="2"/>
  </bookViews>
  <sheets>
    <sheet name="ルール＆合計" sheetId="1" r:id="rId1"/>
    <sheet name="Demo_Trade" sheetId="14" r:id="rId2"/>
    <sheet name="気づき" sheetId="17" r:id="rId3"/>
    <sheet name="Demo_Trade_画像" sheetId="15" r:id="rId4"/>
    <sheet name="相場Tracking" sheetId="16" r:id="rId5"/>
  </sheets>
  <definedNames>
    <definedName name="_xlnm._FilterDatabase" localSheetId="1" hidden="1">Demo_Trade!$A$3:$AD$61</definedName>
  </definedNames>
  <calcPr calcId="125725"/>
</workbook>
</file>

<file path=xl/calcChain.xml><?xml version="1.0" encoding="utf-8"?>
<calcChain xmlns="http://schemas.openxmlformats.org/spreadsheetml/2006/main">
  <c r="M71" i="14"/>
  <c r="M70"/>
  <c r="Y69"/>
  <c r="AA69" s="1"/>
  <c r="M69"/>
  <c r="Z68"/>
  <c r="Z67"/>
  <c r="M68"/>
  <c r="M67"/>
  <c r="Z64"/>
  <c r="M66"/>
  <c r="M65"/>
  <c r="M64"/>
  <c r="AB58"/>
  <c r="AA58"/>
  <c r="Y58"/>
  <c r="X58"/>
  <c r="W58"/>
  <c r="Z62"/>
  <c r="W62"/>
  <c r="M63"/>
  <c r="M62"/>
  <c r="M61"/>
  <c r="Z60"/>
  <c r="Y81"/>
  <c r="AA81" s="1"/>
  <c r="X81"/>
  <c r="W81"/>
  <c r="AA80"/>
  <c r="Y80"/>
  <c r="X80"/>
  <c r="W80"/>
  <c r="Y79"/>
  <c r="AA79" s="1"/>
  <c r="X79"/>
  <c r="W79"/>
  <c r="AA78"/>
  <c r="Y78"/>
  <c r="X78"/>
  <c r="W78"/>
  <c r="Y77"/>
  <c r="AA77" s="1"/>
  <c r="X77"/>
  <c r="W77"/>
  <c r="AA76"/>
  <c r="Y76"/>
  <c r="X76"/>
  <c r="W76"/>
  <c r="Y75"/>
  <c r="AA75" s="1"/>
  <c r="X75"/>
  <c r="W75"/>
  <c r="AA74"/>
  <c r="Y74"/>
  <c r="X74"/>
  <c r="W74"/>
  <c r="Y73"/>
  <c r="AA73" s="1"/>
  <c r="X73"/>
  <c r="W73"/>
  <c r="AA72"/>
  <c r="Y72"/>
  <c r="X72"/>
  <c r="W72"/>
  <c r="Y71"/>
  <c r="AA71" s="1"/>
  <c r="X71"/>
  <c r="Y70"/>
  <c r="AA70" s="1"/>
  <c r="X70"/>
  <c r="Y68"/>
  <c r="W68"/>
  <c r="Y66"/>
  <c r="AA66" s="1"/>
  <c r="X66"/>
  <c r="Y65"/>
  <c r="AA65" s="1"/>
  <c r="X65"/>
  <c r="Y64"/>
  <c r="AA64" s="1"/>
  <c r="W64"/>
  <c r="Y63"/>
  <c r="AA63" s="1"/>
  <c r="X63"/>
  <c r="M60"/>
  <c r="M59"/>
  <c r="M58"/>
  <c r="Z54"/>
  <c r="A59"/>
  <c r="A60" s="1"/>
  <c r="A58"/>
  <c r="A57"/>
  <c r="A56"/>
  <c r="M55"/>
  <c r="M54"/>
  <c r="M53"/>
  <c r="M52"/>
  <c r="Z48"/>
  <c r="Z50"/>
  <c r="W51"/>
  <c r="M51"/>
  <c r="M50"/>
  <c r="AA47"/>
  <c r="Y47"/>
  <c r="X47"/>
  <c r="W47"/>
  <c r="M49"/>
  <c r="M48"/>
  <c r="M47"/>
  <c r="Z43"/>
  <c r="Z44"/>
  <c r="M45"/>
  <c r="M43"/>
  <c r="M41"/>
  <c r="Z40"/>
  <c r="Z39"/>
  <c r="W32"/>
  <c r="Z37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Z38"/>
  <c r="M40"/>
  <c r="Z34"/>
  <c r="M39"/>
  <c r="Y61"/>
  <c r="AA61" s="1"/>
  <c r="X61"/>
  <c r="Y60"/>
  <c r="W60"/>
  <c r="Y59"/>
  <c r="AA59" s="1"/>
  <c r="X59"/>
  <c r="W59"/>
  <c r="Y57"/>
  <c r="AA57" s="1"/>
  <c r="X57"/>
  <c r="W57"/>
  <c r="Y56"/>
  <c r="AA56" s="1"/>
  <c r="W56"/>
  <c r="Y55"/>
  <c r="AA55" s="1"/>
  <c r="X55"/>
  <c r="W55"/>
  <c r="Y54"/>
  <c r="W54"/>
  <c r="Y53"/>
  <c r="AA53" s="1"/>
  <c r="X53"/>
  <c r="Y52"/>
  <c r="AA52" s="1"/>
  <c r="W52"/>
  <c r="Y49"/>
  <c r="AA49" s="1"/>
  <c r="X49"/>
  <c r="Y48"/>
  <c r="X48"/>
  <c r="Y46"/>
  <c r="AA46" s="1"/>
  <c r="X46"/>
  <c r="W46"/>
  <c r="Y45"/>
  <c r="AA45" s="1"/>
  <c r="X45"/>
  <c r="Y44"/>
  <c r="AA44" s="1"/>
  <c r="X44"/>
  <c r="Y43"/>
  <c r="X43"/>
  <c r="Y42"/>
  <c r="AA42" s="1"/>
  <c r="X42"/>
  <c r="W42"/>
  <c r="Y41"/>
  <c r="AA41" s="1"/>
  <c r="X41"/>
  <c r="Y40"/>
  <c r="AA40" s="1"/>
  <c r="W40"/>
  <c r="M38"/>
  <c r="M37"/>
  <c r="M36"/>
  <c r="Y37"/>
  <c r="W37"/>
  <c r="Y36"/>
  <c r="AA36" s="1"/>
  <c r="X36"/>
  <c r="W36"/>
  <c r="X69" l="1"/>
  <c r="AA68"/>
  <c r="W67"/>
  <c r="Y67"/>
  <c r="AA67" s="1"/>
  <c r="Y62"/>
  <c r="AA62" s="1"/>
  <c r="AA60"/>
  <c r="AA54"/>
  <c r="AA48"/>
  <c r="Y51"/>
  <c r="AA51" s="1"/>
  <c r="Y50"/>
  <c r="AA50" s="1"/>
  <c r="X50"/>
  <c r="AA43"/>
  <c r="AA37"/>
  <c r="W39"/>
  <c r="W33"/>
  <c r="W35"/>
  <c r="W31"/>
  <c r="W30"/>
  <c r="W29"/>
  <c r="W34"/>
  <c r="W28"/>
  <c r="Z21"/>
  <c r="Z17"/>
  <c r="W17"/>
  <c r="Z15"/>
  <c r="Z8"/>
  <c r="Z11"/>
  <c r="Z10"/>
  <c r="Z5"/>
  <c r="Z4"/>
  <c r="M33"/>
  <c r="M35"/>
  <c r="M31"/>
  <c r="M30" l="1"/>
  <c r="M32"/>
  <c r="M29"/>
  <c r="M28"/>
  <c r="M27" l="1"/>
  <c r="S26"/>
  <c r="M26"/>
  <c r="M25"/>
  <c r="Y21" l="1"/>
  <c r="AA21" s="1"/>
  <c r="W21"/>
  <c r="S20"/>
  <c r="S18"/>
  <c r="Y18" s="1"/>
  <c r="AA18" s="1"/>
  <c r="X11"/>
  <c r="L10"/>
  <c r="Y10" s="1"/>
  <c r="AA10" s="1"/>
  <c r="L9"/>
  <c r="Y9" s="1"/>
  <c r="AA9" s="1"/>
  <c r="L8"/>
  <c r="Y8" s="1"/>
  <c r="AA8" s="1"/>
  <c r="X38"/>
  <c r="X31"/>
  <c r="X32"/>
  <c r="X29"/>
  <c r="X27"/>
  <c r="X26"/>
  <c r="X22"/>
  <c r="X16"/>
  <c r="X12"/>
  <c r="X7"/>
  <c r="X6"/>
  <c r="X5"/>
  <c r="X4"/>
  <c r="Y39"/>
  <c r="AA39" s="1"/>
  <c r="Y38"/>
  <c r="AA38" s="1"/>
  <c r="Y33"/>
  <c r="AA33" s="1"/>
  <c r="Y35"/>
  <c r="AA35" s="1"/>
  <c r="Y31"/>
  <c r="AA31" s="1"/>
  <c r="Y30"/>
  <c r="AA30" s="1"/>
  <c r="Y32"/>
  <c r="AA32" s="1"/>
  <c r="Y29"/>
  <c r="AA29" s="1"/>
  <c r="Y34"/>
  <c r="AA34" s="1"/>
  <c r="Y28"/>
  <c r="AA28" s="1"/>
  <c r="Y27"/>
  <c r="AA27" s="1"/>
  <c r="Y26"/>
  <c r="AA26" s="1"/>
  <c r="Y25"/>
  <c r="AA25" s="1"/>
  <c r="Y24"/>
  <c r="AA24" s="1"/>
  <c r="Y23"/>
  <c r="AA23" s="1"/>
  <c r="Y22"/>
  <c r="AA22" s="1"/>
  <c r="Y19"/>
  <c r="AA19" s="1"/>
  <c r="Y17"/>
  <c r="AA17" s="1"/>
  <c r="Y16"/>
  <c r="AA16" s="1"/>
  <c r="Y15"/>
  <c r="AA15" s="1"/>
  <c r="Y14"/>
  <c r="AA14" s="1"/>
  <c r="Y13"/>
  <c r="AA13" s="1"/>
  <c r="Y12"/>
  <c r="AA12" s="1"/>
  <c r="Y11"/>
  <c r="AA11" s="1"/>
  <c r="Y7"/>
  <c r="AA7" s="1"/>
  <c r="Y6"/>
  <c r="AA6" s="1"/>
  <c r="Y5"/>
  <c r="AA5" s="1"/>
  <c r="G4"/>
  <c r="Y4"/>
  <c r="AA4" s="1"/>
  <c r="AB4" s="1"/>
  <c r="Q119"/>
  <c r="O91"/>
  <c r="O110" s="1"/>
  <c r="N91"/>
  <c r="N110" s="1"/>
  <c r="W25"/>
  <c r="W24"/>
  <c r="W23"/>
  <c r="W19"/>
  <c r="W15"/>
  <c r="W14"/>
  <c r="W13"/>
  <c r="W8" l="1"/>
  <c r="W18"/>
  <c r="X9"/>
  <c r="X83" s="1"/>
  <c r="W10"/>
  <c r="AB5"/>
  <c r="AB6" s="1"/>
  <c r="AB7" s="1"/>
  <c r="AB8" s="1"/>
  <c r="AB9" s="1"/>
  <c r="AB10" s="1"/>
  <c r="AB11" s="1"/>
  <c r="AB12" s="1"/>
  <c r="AB13" s="1"/>
  <c r="AB14" s="1"/>
  <c r="AB15" s="1"/>
  <c r="AB16" s="1"/>
  <c r="AB17" s="1"/>
  <c r="AB18" s="1"/>
  <c r="AB19" s="1"/>
  <c r="L91"/>
  <c r="L110" s="1"/>
  <c r="G5"/>
  <c r="I103"/>
  <c r="Y20"/>
  <c r="W20"/>
  <c r="I107"/>
  <c r="D8" i="1"/>
  <c r="D17" s="1"/>
  <c r="G8"/>
  <c r="H8" s="1"/>
  <c r="H17" s="1"/>
  <c r="I8"/>
  <c r="J8"/>
  <c r="K8" s="1"/>
  <c r="K17" s="1"/>
  <c r="L8"/>
  <c r="D9"/>
  <c r="G9"/>
  <c r="H9" s="1"/>
  <c r="I9"/>
  <c r="J9"/>
  <c r="K9"/>
  <c r="L9"/>
  <c r="D10"/>
  <c r="G10"/>
  <c r="H10"/>
  <c r="I10"/>
  <c r="J10"/>
  <c r="K10"/>
  <c r="L10"/>
  <c r="D11"/>
  <c r="G11"/>
  <c r="H11"/>
  <c r="I11"/>
  <c r="K11" s="1"/>
  <c r="J11"/>
  <c r="L11"/>
  <c r="D12"/>
  <c r="G12"/>
  <c r="H12"/>
  <c r="I12"/>
  <c r="K12" s="1"/>
  <c r="J12"/>
  <c r="L12"/>
  <c r="D13"/>
  <c r="G13"/>
  <c r="H13" s="1"/>
  <c r="I13"/>
  <c r="J13"/>
  <c r="K13" s="1"/>
  <c r="L13"/>
  <c r="D14"/>
  <c r="G14"/>
  <c r="H14" s="1"/>
  <c r="I14"/>
  <c r="J14"/>
  <c r="K14"/>
  <c r="L14"/>
  <c r="D15"/>
  <c r="G15"/>
  <c r="H15"/>
  <c r="I15"/>
  <c r="K15" s="1"/>
  <c r="J15"/>
  <c r="L15"/>
  <c r="D16"/>
  <c r="G16"/>
  <c r="H16"/>
  <c r="I16"/>
  <c r="K16" s="1"/>
  <c r="J16"/>
  <c r="L16"/>
  <c r="B17"/>
  <c r="C17"/>
  <c r="E17"/>
  <c r="F17"/>
  <c r="I17"/>
  <c r="J17"/>
  <c r="L17"/>
  <c r="W83" i="14" l="1"/>
  <c r="AA20"/>
  <c r="G6"/>
  <c r="G3" i="1"/>
  <c r="B3"/>
  <c r="I3" s="1"/>
  <c r="G17"/>
  <c r="AB20" i="14" l="1"/>
  <c r="AB21" s="1"/>
  <c r="AB22" s="1"/>
  <c r="AB23" s="1"/>
  <c r="AB24" s="1"/>
  <c r="AB25" s="1"/>
  <c r="AB26" s="1"/>
  <c r="AB27" s="1"/>
  <c r="AB28" s="1"/>
  <c r="G29" s="1"/>
  <c r="AA83"/>
  <c r="I99" s="1"/>
  <c r="I102" s="1"/>
  <c r="G7"/>
  <c r="AB29" l="1"/>
  <c r="G30" s="1"/>
  <c r="G8"/>
  <c r="AB30" l="1"/>
  <c r="AB31" s="1"/>
  <c r="G32" s="1"/>
  <c r="G9"/>
  <c r="AB32" l="1"/>
  <c r="AB33" s="1"/>
  <c r="G10"/>
  <c r="G33" l="1"/>
  <c r="G34"/>
  <c r="AB34"/>
  <c r="G11"/>
  <c r="AB35" l="1"/>
  <c r="G35"/>
  <c r="G12"/>
  <c r="AB36" l="1"/>
  <c r="G36"/>
  <c r="G13"/>
  <c r="G37" l="1"/>
  <c r="AB37"/>
  <c r="G14"/>
  <c r="G38" l="1"/>
  <c r="AB38"/>
  <c r="AB39" s="1"/>
  <c r="G15"/>
  <c r="G40" l="1"/>
  <c r="AB40"/>
  <c r="G16"/>
  <c r="AB41" l="1"/>
  <c r="G41"/>
  <c r="G17"/>
  <c r="G42" l="1"/>
  <c r="AB42"/>
  <c r="G18"/>
  <c r="G43" l="1"/>
  <c r="AB43"/>
  <c r="G19"/>
  <c r="AB44" l="1"/>
  <c r="G44"/>
  <c r="G20"/>
  <c r="AB45" l="1"/>
  <c r="G45"/>
  <c r="G21"/>
  <c r="G22"/>
  <c r="AB46" l="1"/>
  <c r="AB47" s="1"/>
  <c r="G46"/>
  <c r="G23"/>
  <c r="G47" l="1"/>
  <c r="G24"/>
  <c r="G48" l="1"/>
  <c r="AB48"/>
  <c r="G25"/>
  <c r="G49" l="1"/>
  <c r="AB49"/>
  <c r="G26"/>
  <c r="G50" l="1"/>
  <c r="AB50"/>
  <c r="G27"/>
  <c r="G51" l="1"/>
  <c r="AB51"/>
  <c r="G28"/>
  <c r="AB52" l="1"/>
  <c r="G53" s="1"/>
  <c r="G52"/>
  <c r="G39"/>
  <c r="AB53" l="1"/>
  <c r="G54" s="1"/>
  <c r="G31"/>
  <c r="AB54" l="1"/>
  <c r="AB55" l="1"/>
  <c r="G55"/>
  <c r="AB56" l="1"/>
  <c r="G56"/>
  <c r="AB57" l="1"/>
  <c r="G57"/>
  <c r="G58" l="1"/>
  <c r="AB59" l="1"/>
  <c r="G59"/>
  <c r="G60" l="1"/>
  <c r="AB60"/>
  <c r="G61" l="1"/>
  <c r="AB61"/>
  <c r="G62" l="1"/>
  <c r="AB62"/>
  <c r="G63" l="1"/>
  <c r="AB63"/>
  <c r="AB64" l="1"/>
  <c r="G64"/>
  <c r="AB65" l="1"/>
  <c r="G65"/>
  <c r="AB66" l="1"/>
  <c r="G66"/>
  <c r="AB67" l="1"/>
  <c r="G67"/>
  <c r="AB68" l="1"/>
  <c r="G68"/>
  <c r="AB69" l="1"/>
  <c r="G69"/>
  <c r="AB70" l="1"/>
  <c r="G70"/>
  <c r="AB71" l="1"/>
  <c r="G71"/>
  <c r="AB72" l="1"/>
  <c r="G72"/>
  <c r="AB73" l="1"/>
  <c r="G73"/>
  <c r="AB74" l="1"/>
  <c r="G74"/>
  <c r="AB75" l="1"/>
  <c r="G75"/>
  <c r="AB76" l="1"/>
  <c r="G76"/>
  <c r="AB77" l="1"/>
  <c r="G77"/>
  <c r="AB78" l="1"/>
  <c r="G78"/>
  <c r="AB79" l="1"/>
  <c r="G79"/>
  <c r="AB80" l="1"/>
  <c r="G80"/>
  <c r="AB81" l="1"/>
  <c r="G81"/>
</calcChain>
</file>

<file path=xl/sharedStrings.xml><?xml version="1.0" encoding="utf-8"?>
<sst xmlns="http://schemas.openxmlformats.org/spreadsheetml/2006/main" count="906" uniqueCount="612">
  <si>
    <t>※入力</t>
  </si>
  <si>
    <t>初期資金</t>
  </si>
  <si>
    <t>スタート日</t>
  </si>
  <si>
    <t>現在資金</t>
  </si>
  <si>
    <t>損切り</t>
  </si>
  <si>
    <t>資金増減</t>
  </si>
  <si>
    <t>トータル集計</t>
  </si>
  <si>
    <t>集計</t>
  </si>
  <si>
    <t>利益合計</t>
  </si>
  <si>
    <t>損失合計</t>
  </si>
  <si>
    <t>損益</t>
  </si>
  <si>
    <t>利益トレード
回数</t>
  </si>
  <si>
    <t>損失トレード
回数</t>
  </si>
  <si>
    <t>総トレード
回数</t>
  </si>
  <si>
    <t>勝率</t>
  </si>
  <si>
    <t>平均利益</t>
  </si>
  <si>
    <t>平均損失</t>
  </si>
  <si>
    <t>平均利益
/平均損失</t>
  </si>
  <si>
    <t>総利益
/総損失(PF)</t>
  </si>
  <si>
    <t>2014年　　合計</t>
  </si>
  <si>
    <t>※リスクリワードレシオ</t>
  </si>
  <si>
    <t>※プロフィットファクター</t>
  </si>
  <si>
    <t>通貨ペア</t>
  </si>
  <si>
    <t>エントリー手法</t>
  </si>
  <si>
    <t>時間足</t>
  </si>
  <si>
    <t>エントリー日時</t>
  </si>
  <si>
    <t>エントリー価格</t>
  </si>
  <si>
    <t>決済時間足</t>
  </si>
  <si>
    <t>決済日時</t>
  </si>
  <si>
    <t>決済価格</t>
  </si>
  <si>
    <t>決済手法</t>
  </si>
  <si>
    <t>結果</t>
  </si>
  <si>
    <t>合計</t>
  </si>
  <si>
    <t>トレード詳細データ</t>
  </si>
  <si>
    <t>通貨ペア別エントリー回数</t>
  </si>
  <si>
    <t>Buy</t>
  </si>
  <si>
    <t>Sell</t>
  </si>
  <si>
    <t>トレード期間</t>
  </si>
  <si>
    <t>買いエントリー回数</t>
  </si>
  <si>
    <t>売りエントリー回数</t>
  </si>
  <si>
    <t>合計トレード回数</t>
  </si>
  <si>
    <t>合計勝ち数</t>
  </si>
  <si>
    <t>合計負け数</t>
  </si>
  <si>
    <t>引き分け</t>
  </si>
  <si>
    <t>保留</t>
  </si>
  <si>
    <t>合計利益</t>
  </si>
  <si>
    <t>合計損失</t>
  </si>
  <si>
    <t>合計損益</t>
  </si>
  <si>
    <t>最大連勝数</t>
  </si>
  <si>
    <t>最大連敗数</t>
  </si>
  <si>
    <t>最大DD(pips)</t>
  </si>
  <si>
    <t>エントリー手法別エントリー回数</t>
  </si>
  <si>
    <t>損益pips</t>
  </si>
  <si>
    <t>リベンジャーズ</t>
  </si>
  <si>
    <t>PAリベンジャーズ</t>
  </si>
  <si>
    <t>TJK</t>
  </si>
  <si>
    <t>HIS +1010</t>
  </si>
  <si>
    <t>RF +1010</t>
  </si>
  <si>
    <t>１．今、のあなたの現状を書いてください。</t>
  </si>
  <si>
    <t>（投資歴はどれくらいなのか、現状は勝てているのか負けているか？など）</t>
  </si>
  <si>
    <t>気づき：</t>
  </si>
  <si>
    <t>S</t>
    <phoneticPr fontId="13"/>
  </si>
  <si>
    <t>L</t>
    <phoneticPr fontId="13"/>
  </si>
  <si>
    <t>Exit</t>
    <phoneticPr fontId="13"/>
  </si>
  <si>
    <t>entry</t>
    <phoneticPr fontId="13"/>
  </si>
  <si>
    <t>S</t>
    <phoneticPr fontId="13"/>
  </si>
  <si>
    <t>Cumulative</t>
    <phoneticPr fontId="13"/>
  </si>
  <si>
    <t>Note</t>
    <phoneticPr fontId="13"/>
  </si>
  <si>
    <t>記入</t>
    <rPh sb="0" eb="2">
      <t>キニュウ</t>
    </rPh>
    <phoneticPr fontId="13"/>
  </si>
  <si>
    <t>4H</t>
    <phoneticPr fontId="13"/>
  </si>
  <si>
    <t>USDJPY</t>
    <phoneticPr fontId="13"/>
  </si>
  <si>
    <t>PB &lt; MAs  &amp; touch</t>
    <phoneticPr fontId="13"/>
  </si>
  <si>
    <t>PB &gt; MAs  &amp; touch</t>
    <phoneticPr fontId="13"/>
  </si>
  <si>
    <t>EUR/UED</t>
    <phoneticPr fontId="13"/>
  </si>
  <si>
    <t>Initial LC</t>
    <phoneticPr fontId="14"/>
  </si>
  <si>
    <t>金額　￥</t>
    <phoneticPr fontId="14"/>
  </si>
  <si>
    <t>Initial LC : Entry price時のH or L</t>
    <rPh sb="24" eb="25">
      <t>ジ</t>
    </rPh>
    <phoneticPr fontId="14"/>
  </si>
  <si>
    <t>初期資金</t>
    <rPh sb="0" eb="2">
      <t>ショキ</t>
    </rPh>
    <rPh sb="2" eb="4">
      <t>シキン</t>
    </rPh>
    <phoneticPr fontId="15"/>
  </si>
  <si>
    <t>万円</t>
    <rPh sb="0" eb="2">
      <t>マンエン</t>
    </rPh>
    <phoneticPr fontId="15"/>
  </si>
  <si>
    <t>Trailing stop(Dow)+PB+裁量＋FIB</t>
    <rPh sb="22" eb="24">
      <t>サイリョウ</t>
    </rPh>
    <phoneticPr fontId="13"/>
  </si>
  <si>
    <t>S/R</t>
    <phoneticPr fontId="13"/>
  </si>
  <si>
    <t>Initial LC根拠</t>
    <rPh sb="10" eb="12">
      <t>コンキョ</t>
    </rPh>
    <phoneticPr fontId="15"/>
  </si>
  <si>
    <t>PB</t>
    <phoneticPr fontId="13"/>
  </si>
  <si>
    <t>FIB &amp; PB</t>
    <phoneticPr fontId="13"/>
  </si>
  <si>
    <t>W : +1 , L : -1 , NoEntry : 0</t>
    <phoneticPr fontId="15"/>
  </si>
  <si>
    <r>
      <t>P</t>
    </r>
    <r>
      <rPr>
        <sz val="11"/>
        <color indexed="8"/>
        <rFont val="ＭＳ Ｐゴシック"/>
        <family val="3"/>
        <charset val="128"/>
      </rPr>
      <t>B</t>
    </r>
    <phoneticPr fontId="13"/>
  </si>
  <si>
    <r>
      <t>S</t>
    </r>
    <r>
      <rPr>
        <sz val="11"/>
        <color indexed="8"/>
        <rFont val="ＭＳ Ｐゴシック"/>
        <family val="3"/>
        <charset val="128"/>
      </rPr>
      <t>/R &amp; PB</t>
    </r>
    <phoneticPr fontId="13"/>
  </si>
  <si>
    <r>
      <t>S</t>
    </r>
    <r>
      <rPr>
        <sz val="11"/>
        <color indexed="8"/>
        <rFont val="ＭＳ Ｐゴシック"/>
        <family val="3"/>
        <charset val="128"/>
      </rPr>
      <t>/R</t>
    </r>
    <phoneticPr fontId="13"/>
  </si>
  <si>
    <r>
      <t>L</t>
    </r>
    <r>
      <rPr>
        <sz val="11"/>
        <color indexed="8"/>
        <rFont val="ＭＳ Ｐゴシック"/>
        <family val="3"/>
        <charset val="128"/>
      </rPr>
      <t xml:space="preserve"> or S</t>
    </r>
    <phoneticPr fontId="13"/>
  </si>
  <si>
    <t>Risk rate %</t>
    <phoneticPr fontId="13"/>
  </si>
  <si>
    <t>損益pips
\ cross</t>
    <rPh sb="0" eb="1">
      <t>ソン</t>
    </rPh>
    <phoneticPr fontId="15"/>
  </si>
  <si>
    <t xml:space="preserve">entry :　
LC : 
Target : 
Exit : </t>
    <phoneticPr fontId="15"/>
  </si>
  <si>
    <t>1H</t>
    <phoneticPr fontId="13"/>
  </si>
  <si>
    <t>15.7.22 23:00H</t>
    <phoneticPr fontId="13"/>
  </si>
  <si>
    <r>
      <t>1</t>
    </r>
    <r>
      <rPr>
        <sz val="11"/>
        <color indexed="8"/>
        <rFont val="ＭＳ Ｐゴシック"/>
        <family val="3"/>
        <charset val="128"/>
      </rPr>
      <t>5.7.23 0:00L</t>
    </r>
    <phoneticPr fontId="13"/>
  </si>
  <si>
    <t>15.7.23 2:00</t>
    <phoneticPr fontId="13"/>
  </si>
  <si>
    <t>1H</t>
    <phoneticPr fontId="13"/>
  </si>
  <si>
    <t>15.7.23 10:10</t>
    <phoneticPr fontId="13"/>
  </si>
  <si>
    <t>entry :　FIB23.6付近(届いてないが）までadj後、Resをbreakしsupp（res）にhook。LCに設定した足の10MA越えにしようと思ったが、LC設定の1本前の足のH。
LC : 丁度S/R付近
Target : FIB0.0　124.465
Exit : 初期LCに引っかかりLC。デモトレを早く始めるために優位性のないところでentryしてしまったのが敗因。</t>
    <rPh sb="15" eb="17">
      <t>フキン</t>
    </rPh>
    <rPh sb="18" eb="19">
      <t>トド</t>
    </rPh>
    <rPh sb="30" eb="31">
      <t>ゴ</t>
    </rPh>
    <rPh sb="60" eb="62">
      <t>セッテイ</t>
    </rPh>
    <rPh sb="64" eb="65">
      <t>アシ</t>
    </rPh>
    <rPh sb="70" eb="71">
      <t>コ</t>
    </rPh>
    <rPh sb="77" eb="78">
      <t>オモ</t>
    </rPh>
    <rPh sb="84" eb="86">
      <t>セッテイ</t>
    </rPh>
    <rPh sb="88" eb="89">
      <t>ホン</t>
    </rPh>
    <rPh sb="89" eb="90">
      <t>マエ</t>
    </rPh>
    <rPh sb="91" eb="92">
      <t>アシ</t>
    </rPh>
    <rPh sb="101" eb="103">
      <t>チョウド</t>
    </rPh>
    <rPh sb="106" eb="108">
      <t>フキン</t>
    </rPh>
    <phoneticPr fontId="15"/>
  </si>
  <si>
    <t>4H</t>
    <phoneticPr fontId="13"/>
  </si>
  <si>
    <t>15.7.22 16:99H</t>
    <phoneticPr fontId="13"/>
  </si>
  <si>
    <t>15.7.23 8:00L</t>
    <phoneticPr fontId="13"/>
  </si>
  <si>
    <t xml:space="preserve">entry :　FIB23.6まで届いていないがadj、その後、up Dowに見える。
LC : 
Target : 15.6.5H付近　125.5
Exit : </t>
    <rPh sb="17" eb="18">
      <t>トド</t>
    </rPh>
    <rPh sb="30" eb="31">
      <t>ゴ</t>
    </rPh>
    <rPh sb="39" eb="40">
      <t>ミ</t>
    </rPh>
    <rPh sb="66" eb="68">
      <t>フキン</t>
    </rPh>
    <phoneticPr fontId="15"/>
  </si>
  <si>
    <t>USDJPY</t>
    <phoneticPr fontId="16"/>
  </si>
  <si>
    <t>EURUSD</t>
    <phoneticPr fontId="16"/>
  </si>
  <si>
    <t>EURJPY</t>
    <phoneticPr fontId="16"/>
  </si>
  <si>
    <t>GBPUSD</t>
    <phoneticPr fontId="16"/>
  </si>
  <si>
    <t>GBPJPY</t>
    <phoneticPr fontId="16"/>
  </si>
  <si>
    <t>AUDUSD</t>
    <phoneticPr fontId="16"/>
  </si>
  <si>
    <t>AUDJPY</t>
    <phoneticPr fontId="16"/>
  </si>
  <si>
    <t>USDCHF</t>
    <phoneticPr fontId="16"/>
  </si>
  <si>
    <t>CHFJPY</t>
    <phoneticPr fontId="16"/>
  </si>
  <si>
    <t>NZDUSD</t>
    <phoneticPr fontId="16"/>
  </si>
  <si>
    <t>NZDJPY</t>
    <phoneticPr fontId="16"/>
  </si>
  <si>
    <t>USDCAD</t>
    <phoneticPr fontId="16"/>
  </si>
  <si>
    <t>4H　FIBチェック中</t>
    <rPh sb="10" eb="11">
      <t>チュウ</t>
    </rPh>
    <phoneticPr fontId="16"/>
  </si>
  <si>
    <t>L：4H　124.090付近のRes上抜け
S：4H　FIB23.6(123.505)割れ</t>
    <rPh sb="12" eb="14">
      <t>フキン</t>
    </rPh>
    <rPh sb="18" eb="19">
      <t>ウワ</t>
    </rPh>
    <rPh sb="19" eb="20">
      <t>ヌ</t>
    </rPh>
    <rPh sb="43" eb="44">
      <t>ワ</t>
    </rPh>
    <phoneticPr fontId="16"/>
  </si>
  <si>
    <t>S：4H　FIB23.6割れ</t>
    <rPh sb="12" eb="13">
      <t>ワ</t>
    </rPh>
    <phoneticPr fontId="16"/>
  </si>
  <si>
    <t>S：4H　FIB23.6割れている。直近L割れentryか？</t>
    <rPh sb="12" eb="13">
      <t>ワ</t>
    </rPh>
    <rPh sb="18" eb="20">
      <t>チョッキン</t>
    </rPh>
    <rPh sb="21" eb="22">
      <t>ワ</t>
    </rPh>
    <phoneticPr fontId="16"/>
  </si>
  <si>
    <t>S：Down中。PB出ればentry？</t>
    <rPh sb="6" eb="7">
      <t>チュウ</t>
    </rPh>
    <rPh sb="10" eb="11">
      <t>デ</t>
    </rPh>
    <phoneticPr fontId="16"/>
  </si>
  <si>
    <t>4H：FIB23.6割れている。監視継続</t>
    <rPh sb="10" eb="11">
      <t>ワ</t>
    </rPh>
    <rPh sb="16" eb="18">
      <t>カンシ</t>
    </rPh>
    <rPh sb="18" eb="20">
      <t>ケイゾク</t>
    </rPh>
    <phoneticPr fontId="16"/>
  </si>
  <si>
    <t>S：Down中。D：PB出てた。</t>
    <rPh sb="6" eb="7">
      <t>チュウ</t>
    </rPh>
    <rPh sb="12" eb="13">
      <t>デ</t>
    </rPh>
    <phoneticPr fontId="16"/>
  </si>
  <si>
    <t>S：FIB38.2割れた。D:PB出てた。</t>
    <rPh sb="9" eb="10">
      <t>ワ</t>
    </rPh>
    <rPh sb="17" eb="18">
      <t>デ</t>
    </rPh>
    <phoneticPr fontId="16"/>
  </si>
  <si>
    <t>L：D　FIB50.0越え。D:PB出てた。</t>
    <rPh sb="11" eb="12">
      <t>コ</t>
    </rPh>
    <rPh sb="18" eb="19">
      <t>デ</t>
    </rPh>
    <phoneticPr fontId="16"/>
  </si>
  <si>
    <t>L：D：FIB23.6付近まで反発。PB出れば。</t>
    <rPh sb="11" eb="13">
      <t>フキン</t>
    </rPh>
    <rPh sb="15" eb="17">
      <t>ハンパツ</t>
    </rPh>
    <rPh sb="20" eb="21">
      <t>デ</t>
    </rPh>
    <phoneticPr fontId="16"/>
  </si>
  <si>
    <t>S：4H：Sandwichになるか？
MACD-H　divergence</t>
    <phoneticPr fontId="16"/>
  </si>
  <si>
    <t>D　FIBチェック中。Triangle</t>
    <rPh sb="9" eb="10">
      <t>チュウ</t>
    </rPh>
    <phoneticPr fontId="16"/>
  </si>
  <si>
    <t>GBPJPY</t>
    <phoneticPr fontId="13"/>
  </si>
  <si>
    <t>S</t>
    <phoneticPr fontId="13"/>
  </si>
  <si>
    <t>15.7.24 8:00L</t>
    <phoneticPr fontId="13"/>
  </si>
  <si>
    <t>entryと同じ足</t>
    <rPh sb="6" eb="7">
      <t>オナ</t>
    </rPh>
    <rPh sb="8" eb="9">
      <t>アシ</t>
    </rPh>
    <phoneticPr fontId="13"/>
  </si>
  <si>
    <t>FIB &amp;S/R</t>
    <phoneticPr fontId="13"/>
  </si>
  <si>
    <t xml:space="preserve">entry :　FIB23.6付近までadj。その後、戻り弱くSupp付近で推移。直近L割れでentry
LC : 
Target : 38.2-&gt;190.774　or　50.0-&gt;189.666
Exit : </t>
    <rPh sb="15" eb="17">
      <t>フキン</t>
    </rPh>
    <rPh sb="25" eb="26">
      <t>ゴ</t>
    </rPh>
    <rPh sb="27" eb="28">
      <t>モド</t>
    </rPh>
    <rPh sb="29" eb="30">
      <t>ヨワ</t>
    </rPh>
    <rPh sb="35" eb="37">
      <t>フキン</t>
    </rPh>
    <rPh sb="38" eb="40">
      <t>スイイ</t>
    </rPh>
    <rPh sb="41" eb="43">
      <t>チョッキン</t>
    </rPh>
    <rPh sb="44" eb="45">
      <t>ワ</t>
    </rPh>
    <phoneticPr fontId="15"/>
  </si>
  <si>
    <t>15.7.27 6:00</t>
    <phoneticPr fontId="13"/>
  </si>
  <si>
    <t>15.7.27 11:00</t>
    <phoneticPr fontId="13"/>
  </si>
  <si>
    <t>LC逆指値変更をするつもりが決済してしまった</t>
    <rPh sb="2" eb="3">
      <t>ギャク</t>
    </rPh>
    <rPh sb="3" eb="5">
      <t>サシネ</t>
    </rPh>
    <rPh sb="5" eb="7">
      <t>ヘンコウ</t>
    </rPh>
    <rPh sb="14" eb="16">
      <t>ケッサイ</t>
    </rPh>
    <phoneticPr fontId="13"/>
  </si>
  <si>
    <t>適当</t>
    <rPh sb="0" eb="2">
      <t>テキトウ</t>
    </rPh>
    <phoneticPr fontId="13"/>
  </si>
  <si>
    <t>15.7.27 11:21</t>
    <phoneticPr fontId="13"/>
  </si>
  <si>
    <t>適当</t>
    <rPh sb="0" eb="2">
      <t>テキトウ</t>
    </rPh>
    <phoneticPr fontId="13"/>
  </si>
  <si>
    <t>15.7.27 17:16</t>
    <phoneticPr fontId="13"/>
  </si>
  <si>
    <t>USDCHF</t>
    <phoneticPr fontId="13"/>
  </si>
  <si>
    <t>L</t>
    <phoneticPr fontId="13"/>
  </si>
  <si>
    <t>D</t>
    <phoneticPr fontId="13"/>
  </si>
  <si>
    <t>15.7.27H</t>
    <phoneticPr fontId="13"/>
  </si>
  <si>
    <t>MT4の注文のやり方を知るためにtest。Chart上右クリックでかなり便利なことが分かった。</t>
    <rPh sb="4" eb="6">
      <t>チュウモン</t>
    </rPh>
    <rPh sb="9" eb="10">
      <t>カタ</t>
    </rPh>
    <rPh sb="11" eb="12">
      <t>シ</t>
    </rPh>
    <rPh sb="26" eb="27">
      <t>ジョウ</t>
    </rPh>
    <rPh sb="27" eb="28">
      <t>ミギ</t>
    </rPh>
    <rPh sb="36" eb="38">
      <t>ベンリ</t>
    </rPh>
    <rPh sb="42" eb="43">
      <t>ワ</t>
    </rPh>
    <phoneticPr fontId="15"/>
  </si>
  <si>
    <t>spread</t>
    <phoneticPr fontId="13"/>
  </si>
  <si>
    <t>USDjPY</t>
    <phoneticPr fontId="13"/>
  </si>
  <si>
    <t>S</t>
    <phoneticPr fontId="13"/>
  </si>
  <si>
    <t>1H</t>
    <phoneticPr fontId="13"/>
  </si>
  <si>
    <t>15.7.28 4:00L</t>
    <phoneticPr fontId="13"/>
  </si>
  <si>
    <t>USDCAD</t>
    <phoneticPr fontId="13"/>
  </si>
  <si>
    <t>4H</t>
    <phoneticPr fontId="13"/>
  </si>
  <si>
    <t xml:space="preserve">entry :　Triangleからの下抜けが起きている。下げから戻しのような形でPB(陰線)
LC : 
Target : Supp→122.667　or　50.0-&gt;122.431
Exit : </t>
    <rPh sb="19" eb="20">
      <t>シタ</t>
    </rPh>
    <rPh sb="20" eb="21">
      <t>ヌ</t>
    </rPh>
    <rPh sb="23" eb="24">
      <t>オ</t>
    </rPh>
    <rPh sb="29" eb="30">
      <t>サ</t>
    </rPh>
    <rPh sb="33" eb="34">
      <t>モド</t>
    </rPh>
    <rPh sb="39" eb="40">
      <t>カタチ</t>
    </rPh>
    <rPh sb="44" eb="46">
      <t>インセン</t>
    </rPh>
    <phoneticPr fontId="15"/>
  </si>
  <si>
    <t>大幅UPしたのでcancel
7.28　8:00</t>
    <rPh sb="0" eb="2">
      <t>オオハバ</t>
    </rPh>
    <phoneticPr fontId="13"/>
  </si>
  <si>
    <t>15.7.28 9:02</t>
    <phoneticPr fontId="13"/>
  </si>
  <si>
    <t>15.7.28 6:27</t>
    <phoneticPr fontId="13"/>
  </si>
  <si>
    <t>AUDJPY</t>
    <phoneticPr fontId="13"/>
  </si>
  <si>
    <t>L</t>
    <phoneticPr fontId="13"/>
  </si>
  <si>
    <t>4H</t>
    <phoneticPr fontId="13"/>
  </si>
  <si>
    <t>15.7.28 20:00H</t>
    <phoneticPr fontId="13"/>
  </si>
  <si>
    <t>15.7.29 0:21</t>
    <phoneticPr fontId="13"/>
  </si>
  <si>
    <t>4H</t>
    <phoneticPr fontId="13"/>
  </si>
  <si>
    <t>15.7.29 15:21</t>
    <phoneticPr fontId="13"/>
  </si>
  <si>
    <t>15.7.29 8:00H</t>
    <phoneticPr fontId="13"/>
  </si>
  <si>
    <t>USDCHF</t>
    <phoneticPr fontId="13"/>
  </si>
  <si>
    <t>S</t>
    <phoneticPr fontId="13"/>
  </si>
  <si>
    <t>15.7.30 8:00L</t>
    <phoneticPr fontId="13"/>
  </si>
  <si>
    <t>upでMAを越えた為、1度cancel</t>
    <rPh sb="6" eb="7">
      <t>コ</t>
    </rPh>
    <rPh sb="9" eb="10">
      <t>タメ</t>
    </rPh>
    <rPh sb="12" eb="13">
      <t>ド</t>
    </rPh>
    <phoneticPr fontId="13"/>
  </si>
  <si>
    <t>EURJPY</t>
    <phoneticPr fontId="13"/>
  </si>
  <si>
    <t>S</t>
    <phoneticPr fontId="13"/>
  </si>
  <si>
    <t>15.7.30 20:00L</t>
    <phoneticPr fontId="13"/>
  </si>
  <si>
    <t>15.7.31 0:00H</t>
    <phoneticPr fontId="13"/>
  </si>
  <si>
    <t xml:space="preserve">entry :　Supp割れ狙い
LC : 
Target : 38.2(D)→135.134　or　supp→134.238
Exit : </t>
    <rPh sb="12" eb="13">
      <t>ワ</t>
    </rPh>
    <rPh sb="14" eb="15">
      <t>ネラ</t>
    </rPh>
    <phoneticPr fontId="15"/>
  </si>
  <si>
    <t xml:space="preserve">entry :　PB(陽線)
LC : 
Target : 38.2-&gt;1.27291
Exit : </t>
    <rPh sb="11" eb="13">
      <t>ヨウセン</t>
    </rPh>
    <phoneticPr fontId="15"/>
  </si>
  <si>
    <t>AUDUSD</t>
    <phoneticPr fontId="13"/>
  </si>
  <si>
    <t>S</t>
    <phoneticPr fontId="13"/>
  </si>
  <si>
    <t>4H</t>
    <phoneticPr fontId="13"/>
  </si>
  <si>
    <t>15.7.30 12:00L</t>
    <phoneticPr fontId="13"/>
  </si>
  <si>
    <t>15.7.31 4:00H</t>
    <phoneticPr fontId="13"/>
  </si>
  <si>
    <t>15.7.31 12:33</t>
    <phoneticPr fontId="13"/>
  </si>
  <si>
    <t>大幅UPしたのでcancel</t>
    <rPh sb="0" eb="2">
      <t>オオハバ</t>
    </rPh>
    <phoneticPr fontId="13"/>
  </si>
  <si>
    <t>15.7.31 15:38:00</t>
    <phoneticPr fontId="13"/>
  </si>
  <si>
    <t>15.7.31 15:30</t>
    <phoneticPr fontId="13"/>
  </si>
  <si>
    <t>15.7.29L 0.95970</t>
    <phoneticPr fontId="13"/>
  </si>
  <si>
    <t>weekly comment</t>
    <phoneticPr fontId="13"/>
  </si>
  <si>
    <t>Greece・China問題、FOMC等で振り回された週。ほぼLCで終了。
来週末に米雇用統計。それぞれの通貨pairに動きが出るか、要監視！！</t>
    <rPh sb="12" eb="14">
      <t>モンダイ</t>
    </rPh>
    <rPh sb="19" eb="20">
      <t>トウ</t>
    </rPh>
    <rPh sb="21" eb="22">
      <t>フ</t>
    </rPh>
    <rPh sb="23" eb="24">
      <t>マワ</t>
    </rPh>
    <rPh sb="27" eb="28">
      <t>シュウ</t>
    </rPh>
    <rPh sb="34" eb="36">
      <t>シュウリョウ</t>
    </rPh>
    <rPh sb="38" eb="40">
      <t>ライシュウ</t>
    </rPh>
    <rPh sb="40" eb="41">
      <t>マツ</t>
    </rPh>
    <rPh sb="42" eb="43">
      <t>ベイ</t>
    </rPh>
    <rPh sb="43" eb="45">
      <t>コヨウ</t>
    </rPh>
    <rPh sb="45" eb="47">
      <t>トウケイ</t>
    </rPh>
    <rPh sb="53" eb="55">
      <t>ツウカ</t>
    </rPh>
    <rPh sb="60" eb="61">
      <t>ウゴ</t>
    </rPh>
    <rPh sb="63" eb="64">
      <t>デ</t>
    </rPh>
    <rPh sb="67" eb="68">
      <t>ヨウ</t>
    </rPh>
    <rPh sb="68" eb="70">
      <t>カンシ</t>
    </rPh>
    <phoneticPr fontId="13"/>
  </si>
  <si>
    <t>L</t>
    <phoneticPr fontId="13"/>
  </si>
  <si>
    <t>15.7.31L</t>
    <phoneticPr fontId="13"/>
  </si>
  <si>
    <t>計算通貨数量
（Entry想定価格で決定）</t>
    <rPh sb="0" eb="2">
      <t>ケイサン</t>
    </rPh>
    <rPh sb="2" eb="4">
      <t>ツウカ</t>
    </rPh>
    <rPh sb="4" eb="6">
      <t>スウリョウ</t>
    </rPh>
    <phoneticPr fontId="15"/>
  </si>
  <si>
    <t>Trade通貨数量
(Manual input)
（Entry想定価格で決定）</t>
    <rPh sb="5" eb="7">
      <t>ツウカ</t>
    </rPh>
    <rPh sb="7" eb="9">
      <t>スウリョウ</t>
    </rPh>
    <phoneticPr fontId="13"/>
  </si>
  <si>
    <t>15.7.31H</t>
    <phoneticPr fontId="13"/>
  </si>
  <si>
    <t>15.8.3 21:23</t>
    <phoneticPr fontId="13"/>
  </si>
  <si>
    <t>USDJPY</t>
    <phoneticPr fontId="13"/>
  </si>
  <si>
    <t>15.8.7 12:00H</t>
    <phoneticPr fontId="13"/>
  </si>
  <si>
    <t>EB/PB</t>
    <phoneticPr fontId="13"/>
  </si>
  <si>
    <t>GBPUSD</t>
    <phoneticPr fontId="13"/>
  </si>
  <si>
    <t>L</t>
    <phoneticPr fontId="13"/>
  </si>
  <si>
    <t>H4</t>
    <phoneticPr fontId="13"/>
  </si>
  <si>
    <t>15.8.10 12:00H</t>
    <phoneticPr fontId="13"/>
  </si>
  <si>
    <t>EB Triangleの下辺から上辺まで狙う</t>
    <rPh sb="12" eb="14">
      <t>カヘン</t>
    </rPh>
    <rPh sb="16" eb="18">
      <t>ジョウヘン</t>
    </rPh>
    <rPh sb="20" eb="21">
      <t>ネラ</t>
    </rPh>
    <phoneticPr fontId="13"/>
  </si>
  <si>
    <t>AUDUSD</t>
    <phoneticPr fontId="13"/>
  </si>
  <si>
    <t>L</t>
    <phoneticPr fontId="13"/>
  </si>
  <si>
    <t>15.8.10 16:00H</t>
    <phoneticPr fontId="13"/>
  </si>
  <si>
    <t>NZDUSD</t>
    <phoneticPr fontId="13"/>
  </si>
  <si>
    <t>L</t>
    <phoneticPr fontId="13"/>
  </si>
  <si>
    <t>H1</t>
    <phoneticPr fontId="13"/>
  </si>
  <si>
    <t>EB Target :23.6-&gt;0.67905</t>
    <phoneticPr fontId="13"/>
  </si>
  <si>
    <t>15.8.10 23:00H</t>
    <phoneticPr fontId="13"/>
  </si>
  <si>
    <t>Down -&gt; cancel</t>
    <phoneticPr fontId="13"/>
  </si>
  <si>
    <t>15.8.11 1:00H</t>
    <phoneticPr fontId="13"/>
  </si>
  <si>
    <t>EB 10MA touch
Target :23.6-&gt;0.67905</t>
    <phoneticPr fontId="13"/>
  </si>
  <si>
    <t>EB 10MA・20MA touch
Target : 38.2-&gt;0.75882</t>
    <phoneticPr fontId="13"/>
  </si>
  <si>
    <t>15.8.11 3:06</t>
    <phoneticPr fontId="13"/>
  </si>
  <si>
    <t>15.8.11 4:47</t>
    <phoneticPr fontId="13"/>
  </si>
  <si>
    <t>H4</t>
    <phoneticPr fontId="13"/>
  </si>
  <si>
    <t>H1</t>
    <phoneticPr fontId="13"/>
  </si>
  <si>
    <t>15.8.11 2:29</t>
    <phoneticPr fontId="13"/>
  </si>
  <si>
    <t>15.8.11 4:19</t>
    <phoneticPr fontId="13"/>
  </si>
  <si>
    <t>entry :　
LC : 
Target : 
Exit : MAを突き抜けて強いEBでentryしたつもりだったが、急な戻しでLC。Res（23.6)を抜けてからが安全か？　現在、上昇Wedge形成中なので動きを良く見極める。</t>
    <rPh sb="35" eb="36">
      <t>ツ</t>
    </rPh>
    <rPh sb="37" eb="38">
      <t>ヌ</t>
    </rPh>
    <rPh sb="40" eb="41">
      <t>ツヨ</t>
    </rPh>
    <rPh sb="60" eb="61">
      <t>キュウ</t>
    </rPh>
    <rPh sb="62" eb="63">
      <t>モド</t>
    </rPh>
    <rPh sb="78" eb="79">
      <t>ヌ</t>
    </rPh>
    <rPh sb="84" eb="86">
      <t>アンゼン</t>
    </rPh>
    <rPh sb="89" eb="91">
      <t>ゲンザイ</t>
    </rPh>
    <rPh sb="92" eb="94">
      <t>ジョウショウ</t>
    </rPh>
    <rPh sb="99" eb="102">
      <t>ケイセイチュウ</t>
    </rPh>
    <rPh sb="105" eb="106">
      <t>ウゴ</t>
    </rPh>
    <rPh sb="108" eb="109">
      <t>ヨ</t>
    </rPh>
    <rPh sb="110" eb="112">
      <t>ミキワ</t>
    </rPh>
    <phoneticPr fontId="15"/>
  </si>
  <si>
    <t>H1</t>
    <phoneticPr fontId="13"/>
  </si>
  <si>
    <t>15.8.11 9:37</t>
    <phoneticPr fontId="13"/>
  </si>
  <si>
    <t>15.8.11 4:00L</t>
    <phoneticPr fontId="13"/>
  </si>
  <si>
    <t>EURUSD</t>
    <phoneticPr fontId="13"/>
  </si>
  <si>
    <t>L</t>
    <phoneticPr fontId="13"/>
  </si>
  <si>
    <t>H4</t>
    <phoneticPr fontId="13"/>
  </si>
  <si>
    <t>15.8.11 8:00H</t>
    <phoneticPr fontId="13"/>
  </si>
  <si>
    <t>EB  Triangle越え時に発生</t>
    <rPh sb="12" eb="13">
      <t>コ</t>
    </rPh>
    <rPh sb="14" eb="15">
      <t>ジ</t>
    </rPh>
    <rPh sb="16" eb="18">
      <t>ハッセイ</t>
    </rPh>
    <phoneticPr fontId="13"/>
  </si>
  <si>
    <t>CADJPY</t>
    <phoneticPr fontId="13"/>
  </si>
  <si>
    <t>L</t>
    <phoneticPr fontId="13"/>
  </si>
  <si>
    <t>15.8.12 12:00H</t>
    <phoneticPr fontId="13"/>
  </si>
  <si>
    <t>Res(23.6)越え想定
EBにもなっている</t>
    <rPh sb="9" eb="10">
      <t>コ</t>
    </rPh>
    <rPh sb="11" eb="13">
      <t>ソウテイ</t>
    </rPh>
    <phoneticPr fontId="13"/>
  </si>
  <si>
    <t>15.8.13 2:58</t>
    <phoneticPr fontId="13"/>
  </si>
  <si>
    <t>15.8.11 15:14</t>
    <phoneticPr fontId="13"/>
  </si>
  <si>
    <t>15.8.13 9:32</t>
    <phoneticPr fontId="13"/>
  </si>
  <si>
    <t>15.8.12 13:00L</t>
    <phoneticPr fontId="13"/>
  </si>
  <si>
    <t>15.8.13 4:00L</t>
    <phoneticPr fontId="13"/>
  </si>
  <si>
    <t>15.8.13 15:28</t>
    <phoneticPr fontId="13"/>
  </si>
  <si>
    <t>EURCHF</t>
    <phoneticPr fontId="13"/>
  </si>
  <si>
    <t>S</t>
    <phoneticPr fontId="13"/>
  </si>
  <si>
    <t>15.8.14 8:00L</t>
    <phoneticPr fontId="13"/>
  </si>
  <si>
    <t>15.8.14 12:21</t>
    <phoneticPr fontId="13"/>
  </si>
  <si>
    <t>EB 0.0-23.6までadj後、戻してから再度23.6割れ想定</t>
    <rPh sb="16" eb="17">
      <t>ゴ</t>
    </rPh>
    <rPh sb="18" eb="19">
      <t>モド</t>
    </rPh>
    <rPh sb="23" eb="25">
      <t>サイド</t>
    </rPh>
    <rPh sb="29" eb="30">
      <t>ワ</t>
    </rPh>
    <rPh sb="31" eb="33">
      <t>ソウテイ</t>
    </rPh>
    <phoneticPr fontId="13"/>
  </si>
  <si>
    <t>15.8.14 14:31</t>
    <phoneticPr fontId="13"/>
  </si>
  <si>
    <t>GBPUSD</t>
    <phoneticPr fontId="13"/>
  </si>
  <si>
    <t>L</t>
    <phoneticPr fontId="13"/>
  </si>
  <si>
    <t>15.8.14 16:00H</t>
    <phoneticPr fontId="13"/>
  </si>
  <si>
    <t>\/SettleCurrency
(1 -&gt; \ cross)</t>
    <phoneticPr fontId="13"/>
  </si>
  <si>
    <t>USDCAD</t>
    <phoneticPr fontId="13"/>
  </si>
  <si>
    <t>EB/PB
DayでTriangle抜け確認。Res(~1.56679)抜けてないが、やってみる。
Target：50.0-&gt;1.58690
　　　　　61.8-&gt;1.61809</t>
    <rPh sb="18" eb="19">
      <t>ヌ</t>
    </rPh>
    <rPh sb="20" eb="22">
      <t>カクニン</t>
    </rPh>
    <rPh sb="36" eb="37">
      <t>ヌ</t>
    </rPh>
    <phoneticPr fontId="13"/>
  </si>
  <si>
    <t>EB
PB-&gt;EB-&gt;EB-&gt;EB
最後のEBでRes（1.30808　'09/3の高値を越えた。
Target : 0.0-&gt;1.32121
        -61.8-&gt;1.38831(長期)</t>
    <rPh sb="18" eb="20">
      <t>サイゴ</t>
    </rPh>
    <rPh sb="42" eb="44">
      <t>タカネ</t>
    </rPh>
    <rPh sb="45" eb="46">
      <t>コ</t>
    </rPh>
    <rPh sb="95" eb="97">
      <t>チョウキ</t>
    </rPh>
    <phoneticPr fontId="13"/>
  </si>
  <si>
    <r>
      <t xml:space="preserve">エントリー想定価格価格
(fm 15/7/31 18:37JST)
</t>
    </r>
    <r>
      <rPr>
        <sz val="11"/>
        <color indexed="8"/>
        <rFont val="ＭＳ Ｐゴシック"/>
        <family val="3"/>
        <charset val="128"/>
      </rPr>
      <t>Nominal+/-spread/2</t>
    </r>
    <rPh sb="5" eb="7">
      <t>ソウテイ</t>
    </rPh>
    <rPh sb="7" eb="9">
      <t>カカク</t>
    </rPh>
    <phoneticPr fontId="13"/>
  </si>
  <si>
    <t>15.8.4 12:00 H</t>
    <phoneticPr fontId="13"/>
  </si>
  <si>
    <t>S</t>
    <phoneticPr fontId="13"/>
  </si>
  <si>
    <t>EB
USDCADと同じtimingでEB発生
Target:0.0-&gt;94.082</t>
    <rPh sb="10" eb="11">
      <t>オナ</t>
    </rPh>
    <rPh sb="21" eb="23">
      <t>ハッセイ</t>
    </rPh>
    <phoneticPr fontId="13"/>
  </si>
  <si>
    <t>15.8.14 20:00L</t>
    <phoneticPr fontId="13"/>
  </si>
  <si>
    <t>CADJPY</t>
    <phoneticPr fontId="13"/>
  </si>
  <si>
    <t>15.8.17 0:06</t>
    <phoneticPr fontId="13"/>
  </si>
  <si>
    <t>15.8.17 2:37</t>
    <phoneticPr fontId="13"/>
  </si>
  <si>
    <t>15.8.17 2:42</t>
    <phoneticPr fontId="13"/>
  </si>
  <si>
    <t>15.8.17 17:59</t>
    <phoneticPr fontId="13"/>
  </si>
  <si>
    <t>15.8.17 20:20</t>
    <phoneticPr fontId="13"/>
  </si>
  <si>
    <t>EURJPY</t>
    <phoneticPr fontId="13"/>
  </si>
  <si>
    <t>EB Supp(50.0-&gt;137.93)割れ&amp;Hookで発生。
T：38.2-&gt;135.14 or
   TrendLine-&gt;136.4付近</t>
    <rPh sb="21" eb="22">
      <t>ワ</t>
    </rPh>
    <rPh sb="29" eb="31">
      <t>ハッセイ</t>
    </rPh>
    <rPh sb="70" eb="72">
      <t>フキン</t>
    </rPh>
    <phoneticPr fontId="13"/>
  </si>
  <si>
    <t>H1</t>
    <phoneticPr fontId="13"/>
  </si>
  <si>
    <t>15.8.17 23:00L-SP</t>
    <phoneticPr fontId="13"/>
  </si>
  <si>
    <t>entry :　
LC : 
Target : 
Exit : Triangle上抜け&amp;EBを確認してentryしたが、再度triangle内に戻ってしまった。</t>
    <rPh sb="40" eb="41">
      <t>ウワ</t>
    </rPh>
    <rPh sb="41" eb="42">
      <t>ヌ</t>
    </rPh>
    <rPh sb="47" eb="49">
      <t>カクニン</t>
    </rPh>
    <rPh sb="60" eb="62">
      <t>サイド</t>
    </rPh>
    <rPh sb="70" eb="71">
      <t>ナイ</t>
    </rPh>
    <rPh sb="72" eb="73">
      <t>モド</t>
    </rPh>
    <phoneticPr fontId="15"/>
  </si>
  <si>
    <t>損益pips
\ cross以外</t>
    <rPh sb="0" eb="1">
      <t>ソン</t>
    </rPh>
    <rPh sb="14" eb="16">
      <t>イガイ</t>
    </rPh>
    <phoneticPr fontId="15"/>
  </si>
  <si>
    <t>entry :　
LC : 
Target : 
Exit : DoubleTop&amp;down&amp;Supp割れentryだったが、再度suppの上に戻ってきた。</t>
    <rPh sb="51" eb="52">
      <t>ワ</t>
    </rPh>
    <rPh sb="63" eb="65">
      <t>サイド</t>
    </rPh>
    <rPh sb="70" eb="71">
      <t>ウエ</t>
    </rPh>
    <rPh sb="72" eb="73">
      <t>モド</t>
    </rPh>
    <phoneticPr fontId="15"/>
  </si>
  <si>
    <t>USDCAD</t>
    <phoneticPr fontId="13"/>
  </si>
  <si>
    <r>
      <t>E</t>
    </r>
    <r>
      <rPr>
        <sz val="11"/>
        <color indexed="8"/>
        <rFont val="ＭＳ Ｐゴシック"/>
        <family val="3"/>
        <charset val="128"/>
      </rPr>
      <t>B Position保有中だが、押しを作った後のEB発生したので載せ。</t>
    </r>
    <rPh sb="11" eb="14">
      <t>ホユウチュウ</t>
    </rPh>
    <rPh sb="17" eb="18">
      <t>オ</t>
    </rPh>
    <rPh sb="20" eb="21">
      <t>ツク</t>
    </rPh>
    <rPh sb="23" eb="24">
      <t>アト</t>
    </rPh>
    <rPh sb="27" eb="29">
      <t>ハッセイ</t>
    </rPh>
    <rPh sb="33" eb="34">
      <t>ノ</t>
    </rPh>
    <phoneticPr fontId="13"/>
  </si>
  <si>
    <t>15.8.18 0:00H</t>
    <phoneticPr fontId="13"/>
  </si>
  <si>
    <t>EURAUD</t>
    <phoneticPr fontId="13"/>
  </si>
  <si>
    <t>EB  UpChannelの途中からup</t>
    <rPh sb="14" eb="16">
      <t>トチュウ</t>
    </rPh>
    <phoneticPr fontId="13"/>
  </si>
  <si>
    <t>H4</t>
    <phoneticPr fontId="13"/>
  </si>
  <si>
    <t>USDCHF</t>
    <phoneticPr fontId="13"/>
  </si>
  <si>
    <t>Res越え想定。Triangleになっている。
Target:0.0-&gt;0.99023
　　　　Target越えるかどうか様子を見る。</t>
    <rPh sb="3" eb="4">
      <t>コ</t>
    </rPh>
    <rPh sb="5" eb="7">
      <t>ソウテイ</t>
    </rPh>
    <rPh sb="54" eb="55">
      <t>コ</t>
    </rPh>
    <rPh sb="61" eb="63">
      <t>ヨウス</t>
    </rPh>
    <rPh sb="64" eb="65">
      <t>ミ</t>
    </rPh>
    <phoneticPr fontId="13"/>
  </si>
  <si>
    <t>15.8.17 8:00H+SP</t>
    <phoneticPr fontId="13"/>
  </si>
  <si>
    <t>15.8.17 12:00L</t>
    <phoneticPr fontId="13"/>
  </si>
  <si>
    <t>GBPJPY</t>
    <phoneticPr fontId="13"/>
  </si>
  <si>
    <t>Res(0.0-&gt;195.24)越え想定。
7月終わりからrangeになっている。
Target:-61.8-&gt;201.587
(Monthでないと確認できない）</t>
    <rPh sb="16" eb="17">
      <t>コ</t>
    </rPh>
    <rPh sb="18" eb="20">
      <t>ソウテイ</t>
    </rPh>
    <rPh sb="23" eb="24">
      <t>ガツ</t>
    </rPh>
    <rPh sb="24" eb="25">
      <t>オ</t>
    </rPh>
    <rPh sb="74" eb="76">
      <t>カクニン</t>
    </rPh>
    <phoneticPr fontId="13"/>
  </si>
  <si>
    <t>15.8.18 12:00H+SP</t>
    <phoneticPr fontId="13"/>
  </si>
  <si>
    <t>15.8.18 8:00L</t>
    <phoneticPr fontId="13"/>
  </si>
  <si>
    <t>GBPUSD</t>
    <phoneticPr fontId="13"/>
  </si>
  <si>
    <t>15.8.19 0:00H</t>
    <phoneticPr fontId="13"/>
  </si>
  <si>
    <t>15.8.19 5:20</t>
    <phoneticPr fontId="13"/>
  </si>
  <si>
    <t>EB Triangle上抜けして、Res上抜け時に発生
Target:50.0-&gt;1.58690</t>
    <rPh sb="11" eb="12">
      <t>ウワ</t>
    </rPh>
    <rPh sb="12" eb="13">
      <t>ヌ</t>
    </rPh>
    <rPh sb="20" eb="21">
      <t>ウワ</t>
    </rPh>
    <rPh sb="21" eb="22">
      <t>ヌ</t>
    </rPh>
    <rPh sb="23" eb="24">
      <t>ジ</t>
    </rPh>
    <rPh sb="25" eb="27">
      <t>ハッセイ</t>
    </rPh>
    <phoneticPr fontId="13"/>
  </si>
  <si>
    <t>EURCHF</t>
    <phoneticPr fontId="13"/>
  </si>
  <si>
    <t>15.8.19L-sp</t>
    <phoneticPr fontId="13"/>
  </si>
  <si>
    <t>Cancel
陰線でchannel下限割れ</t>
    <rPh sb="7" eb="9">
      <t>インセン</t>
    </rPh>
    <rPh sb="17" eb="19">
      <t>カゲン</t>
    </rPh>
    <rPh sb="19" eb="20">
      <t>ワ</t>
    </rPh>
    <phoneticPr fontId="13"/>
  </si>
  <si>
    <r>
      <t>EB</t>
    </r>
    <r>
      <rPr>
        <sz val="11"/>
        <color indexed="8"/>
        <rFont val="ＭＳ Ｐゴシック"/>
        <family val="3"/>
        <charset val="128"/>
      </rPr>
      <t xml:space="preserve"> Down&amp;戻し(38.2まで）&amp;downで発生</t>
    </r>
    <rPh sb="8" eb="9">
      <t>モド</t>
    </rPh>
    <rPh sb="24" eb="26">
      <t>ハッセイ</t>
    </rPh>
    <phoneticPr fontId="13"/>
  </si>
  <si>
    <t>注文が通ったはずなのになぜか残っていない？既にdownしてしまっているので遅い！</t>
    <rPh sb="0" eb="2">
      <t>チュウモン</t>
    </rPh>
    <rPh sb="3" eb="4">
      <t>トオ</t>
    </rPh>
    <rPh sb="14" eb="15">
      <t>ノコ</t>
    </rPh>
    <rPh sb="21" eb="22">
      <t>スデ</t>
    </rPh>
    <rPh sb="37" eb="38">
      <t>オソ</t>
    </rPh>
    <phoneticPr fontId="13"/>
  </si>
  <si>
    <t>EURAUD</t>
    <phoneticPr fontId="13"/>
  </si>
  <si>
    <t>H1</t>
    <phoneticPr fontId="13"/>
  </si>
  <si>
    <t>15.8.20 3:00</t>
    <phoneticPr fontId="13"/>
  </si>
  <si>
    <t>15.8.20 0:00H+sp</t>
    <phoneticPr fontId="13"/>
  </si>
  <si>
    <t>15.8.19 20:00L</t>
    <phoneticPr fontId="13"/>
  </si>
  <si>
    <t>EB/PB Resを抜けてadj後にできたEB
T:</t>
    <rPh sb="10" eb="11">
      <t>ヌ</t>
    </rPh>
    <rPh sb="16" eb="17">
      <t>ゴ</t>
    </rPh>
    <phoneticPr fontId="13"/>
  </si>
  <si>
    <t>EB 陽線2本でEBとする（１本目でもEBだがentryが遅れた為）。
T:</t>
    <rPh sb="3" eb="5">
      <t>ヨウセン</t>
    </rPh>
    <rPh sb="6" eb="7">
      <t>ホン</t>
    </rPh>
    <rPh sb="15" eb="16">
      <t>ホン</t>
    </rPh>
    <rPh sb="16" eb="17">
      <t>メ</t>
    </rPh>
    <rPh sb="29" eb="30">
      <t>オク</t>
    </rPh>
    <rPh sb="32" eb="33">
      <t>タメ</t>
    </rPh>
    <phoneticPr fontId="13"/>
  </si>
  <si>
    <t>手数料&amp;Swap</t>
    <rPh sb="0" eb="3">
      <t>テスウリョウ</t>
    </rPh>
    <phoneticPr fontId="13"/>
  </si>
  <si>
    <t>損益</t>
    <rPh sb="0" eb="2">
      <t>ソンエキ</t>
    </rPh>
    <phoneticPr fontId="13"/>
  </si>
  <si>
    <t>Cancel</t>
    <phoneticPr fontId="13"/>
  </si>
  <si>
    <t>cancel</t>
    <phoneticPr fontId="13"/>
  </si>
  <si>
    <t>15.8.12 10:29</t>
    <phoneticPr fontId="13"/>
  </si>
  <si>
    <t>H1</t>
    <phoneticPr fontId="13"/>
  </si>
  <si>
    <t>15.8.19 3:10</t>
    <phoneticPr fontId="13"/>
  </si>
  <si>
    <t>S</t>
    <phoneticPr fontId="13"/>
  </si>
  <si>
    <t>注文通らず</t>
    <rPh sb="0" eb="2">
      <t>チュウモン</t>
    </rPh>
    <rPh sb="2" eb="3">
      <t>トオ</t>
    </rPh>
    <phoneticPr fontId="13"/>
  </si>
  <si>
    <t>15.8.18 13:29</t>
    <phoneticPr fontId="13"/>
  </si>
  <si>
    <t>H4</t>
    <phoneticPr fontId="13"/>
  </si>
  <si>
    <t>15.8.18 16:49</t>
    <phoneticPr fontId="13"/>
  </si>
  <si>
    <t>15.8.19 21:36</t>
    <phoneticPr fontId="13"/>
  </si>
  <si>
    <t>15.8.19 18:33</t>
    <phoneticPr fontId="13"/>
  </si>
  <si>
    <t>Cancel 値動きを見てると逆方向に動きそう</t>
    <rPh sb="7" eb="9">
      <t>ネウゴ</t>
    </rPh>
    <rPh sb="11" eb="12">
      <t>ミ</t>
    </rPh>
    <rPh sb="15" eb="16">
      <t>ギャク</t>
    </rPh>
    <rPh sb="16" eb="18">
      <t>ホウコウ</t>
    </rPh>
    <rPh sb="19" eb="20">
      <t>ウゴ</t>
    </rPh>
    <phoneticPr fontId="13"/>
  </si>
  <si>
    <t>EURJPY</t>
    <phoneticPr fontId="13"/>
  </si>
  <si>
    <t>15.8.20 12:00H+sp</t>
    <phoneticPr fontId="13"/>
  </si>
  <si>
    <t>EB PB-&gt;PB-&gt;EB
Timingが遅れたので様子見</t>
    <rPh sb="21" eb="22">
      <t>オク</t>
    </rPh>
    <rPh sb="26" eb="29">
      <t>ヨウスミ</t>
    </rPh>
    <phoneticPr fontId="13"/>
  </si>
  <si>
    <t>NZDUSD</t>
    <phoneticPr fontId="13"/>
  </si>
  <si>
    <t>cancel</t>
    <phoneticPr fontId="13"/>
  </si>
  <si>
    <t>15.8.20 3:00H+sp</t>
    <phoneticPr fontId="13"/>
  </si>
  <si>
    <t>15.8.18 8:00H+sp</t>
    <phoneticPr fontId="13"/>
  </si>
  <si>
    <t>EB FIB0.0から反発
T：23.6-&gt;0.67676</t>
    <rPh sb="11" eb="13">
      <t>ハンパツ</t>
    </rPh>
    <phoneticPr fontId="13"/>
  </si>
  <si>
    <t>H4</t>
    <phoneticPr fontId="13"/>
  </si>
  <si>
    <t>15.8.20 16:41</t>
    <phoneticPr fontId="13"/>
  </si>
  <si>
    <t>15.8.19 20:00H+sp</t>
    <phoneticPr fontId="13"/>
  </si>
  <si>
    <t>EURAUD</t>
    <phoneticPr fontId="13"/>
  </si>
  <si>
    <t>L</t>
    <phoneticPr fontId="13"/>
  </si>
  <si>
    <t>H1</t>
    <phoneticPr fontId="13"/>
  </si>
  <si>
    <t>15.8.21 0:23</t>
    <phoneticPr fontId="13"/>
  </si>
  <si>
    <t>15.8.20 11:00L</t>
    <phoneticPr fontId="13"/>
  </si>
  <si>
    <r>
      <t>P</t>
    </r>
    <r>
      <rPr>
        <sz val="11"/>
        <color indexed="8"/>
        <rFont val="ＭＳ Ｐゴシック"/>
        <family val="3"/>
        <charset val="128"/>
      </rPr>
      <t>B PB-&gt;PB
T:supp-&gt;122.055</t>
    </r>
    <phoneticPr fontId="13"/>
  </si>
  <si>
    <t>15.8.20 17:17</t>
    <phoneticPr fontId="13"/>
  </si>
  <si>
    <t>15.8.20 12:00L-sp</t>
    <phoneticPr fontId="13"/>
  </si>
  <si>
    <t>15.8.20 20:00H+sp</t>
    <phoneticPr fontId="13"/>
  </si>
  <si>
    <t>15.8.20 23:37</t>
    <phoneticPr fontId="13"/>
  </si>
  <si>
    <t>GBPUSD</t>
    <phoneticPr fontId="13"/>
  </si>
  <si>
    <t>L</t>
    <phoneticPr fontId="13"/>
  </si>
  <si>
    <t>15.8.20 0:00H+sp</t>
    <phoneticPr fontId="13"/>
  </si>
  <si>
    <t>S</t>
    <phoneticPr fontId="13"/>
  </si>
  <si>
    <t>EB/PB Triangle上抜け調整後
日足で見える上髭帯のResも抜けた。
T:50.0-&gt;1.56690
　61.8-&gt;1.61809</t>
    <rPh sb="14" eb="15">
      <t>ウワ</t>
    </rPh>
    <rPh sb="15" eb="16">
      <t>ヌ</t>
    </rPh>
    <rPh sb="17" eb="20">
      <t>チョウセイゴ</t>
    </rPh>
    <rPh sb="21" eb="23">
      <t>ヒアシ</t>
    </rPh>
    <rPh sb="24" eb="25">
      <t>ミ</t>
    </rPh>
    <rPh sb="27" eb="29">
      <t>ウワヒゲ</t>
    </rPh>
    <rPh sb="29" eb="30">
      <t>タイ</t>
    </rPh>
    <rPh sb="35" eb="36">
      <t>ヌ</t>
    </rPh>
    <phoneticPr fontId="13"/>
  </si>
  <si>
    <t>D</t>
    <phoneticPr fontId="13"/>
  </si>
  <si>
    <t>15.8.21 9:00</t>
    <phoneticPr fontId="13"/>
  </si>
  <si>
    <t>15.8.22 0:35</t>
    <phoneticPr fontId="13"/>
  </si>
  <si>
    <t>Target:supp 122.055</t>
    <phoneticPr fontId="13"/>
  </si>
  <si>
    <r>
      <t>T</t>
    </r>
    <r>
      <rPr>
        <sz val="11"/>
        <color indexed="8"/>
        <rFont val="ＭＳ Ｐゴシック"/>
        <family val="3"/>
        <charset val="128"/>
      </rPr>
      <t>radeNumber</t>
    </r>
    <phoneticPr fontId="13"/>
  </si>
  <si>
    <t>cancel</t>
    <phoneticPr fontId="13"/>
  </si>
  <si>
    <t>entryせず</t>
    <phoneticPr fontId="13"/>
  </si>
  <si>
    <r>
      <t>1</t>
    </r>
    <r>
      <rPr>
        <sz val="11"/>
        <color indexed="8"/>
        <rFont val="ＭＳ Ｐゴシック"/>
        <family val="3"/>
        <charset val="128"/>
      </rPr>
      <t>5.8.22 6:30</t>
    </r>
    <phoneticPr fontId="17"/>
  </si>
  <si>
    <t>最初はMT4での注文方法を充分理解していなかったので、不適切・逆方向での注文を出してしまった。</t>
    <rPh sb="0" eb="2">
      <t>サイショ</t>
    </rPh>
    <rPh sb="8" eb="10">
      <t>チュウモン</t>
    </rPh>
    <rPh sb="10" eb="12">
      <t>ホウホウ</t>
    </rPh>
    <rPh sb="13" eb="15">
      <t>ジュウブン</t>
    </rPh>
    <rPh sb="15" eb="17">
      <t>リカイ</t>
    </rPh>
    <rPh sb="27" eb="30">
      <t>フテキセツ</t>
    </rPh>
    <rPh sb="31" eb="32">
      <t>ギャク</t>
    </rPh>
    <rPh sb="32" eb="34">
      <t>ホウコウ</t>
    </rPh>
    <rPh sb="36" eb="38">
      <t>チュウモン</t>
    </rPh>
    <rPh sb="39" eb="40">
      <t>ダ</t>
    </rPh>
    <phoneticPr fontId="17"/>
  </si>
  <si>
    <t>15.8.17までは全体的に動きが分かりずらい印象（監視通貨pair：20）、事実、無駄なtradeをしてしまっている。</t>
    <rPh sb="10" eb="13">
      <t>ゼンタイテキ</t>
    </rPh>
    <rPh sb="14" eb="15">
      <t>ウゴ</t>
    </rPh>
    <rPh sb="17" eb="18">
      <t>ワ</t>
    </rPh>
    <rPh sb="23" eb="25">
      <t>インショウ</t>
    </rPh>
    <rPh sb="26" eb="28">
      <t>カンシ</t>
    </rPh>
    <rPh sb="28" eb="30">
      <t>ツウカ</t>
    </rPh>
    <rPh sb="39" eb="41">
      <t>ジジツ</t>
    </rPh>
    <rPh sb="42" eb="44">
      <t>ムダ</t>
    </rPh>
    <phoneticPr fontId="17"/>
  </si>
  <si>
    <r>
      <rPr>
        <b/>
        <sz val="11"/>
        <color indexed="8"/>
        <rFont val="ＭＳ Ｐゴシック"/>
        <family val="3"/>
        <charset val="128"/>
      </rPr>
      <t>TradeNumber:35（+172.4pips）</t>
    </r>
    <r>
      <rPr>
        <sz val="11"/>
        <color indexed="8"/>
        <rFont val="ＭＳ Ｐゴシック"/>
        <family val="3"/>
        <charset val="128"/>
      </rPr>
      <t>　USDJPYはうまくdownの動きを捉えられ、Targetも思惑通りの場所でexitすることができた。</t>
    </r>
    <rPh sb="42" eb="43">
      <t>ウゴ</t>
    </rPh>
    <rPh sb="45" eb="46">
      <t>トラ</t>
    </rPh>
    <rPh sb="57" eb="59">
      <t>オモワク</t>
    </rPh>
    <rPh sb="59" eb="60">
      <t>トオ</t>
    </rPh>
    <rPh sb="62" eb="64">
      <t>バショ</t>
    </rPh>
    <phoneticPr fontId="17"/>
  </si>
  <si>
    <r>
      <rPr>
        <b/>
        <sz val="11"/>
        <color indexed="8"/>
        <rFont val="ＭＳ Ｐゴシック"/>
        <family val="3"/>
        <charset val="128"/>
      </rPr>
      <t>TradeNumber：31（+115.8pips）・32(+92.2pips)</t>
    </r>
    <r>
      <rPr>
        <sz val="11"/>
        <color indexed="8"/>
        <rFont val="ＭＳ Ｐゴシック"/>
        <family val="3"/>
        <charset val="128"/>
      </rPr>
      <t>　EURAUDからうまく動きが捉えられたと思う。</t>
    </r>
    <phoneticPr fontId="17"/>
  </si>
  <si>
    <r>
      <t>15.8.17以降、動きが見やすくなってきた。事実Winが増えている印象。USD弱, 資源国通貨弱、EUR＆GBP&amp;CHF強、JPYチョイ強。</t>
    </r>
    <r>
      <rPr>
        <b/>
        <sz val="11"/>
        <color indexed="8"/>
        <rFont val="ＭＳ Ｐゴシック"/>
        <family val="3"/>
        <charset val="128"/>
      </rPr>
      <t/>
    </r>
    <rPh sb="7" eb="9">
      <t>イコウ</t>
    </rPh>
    <rPh sb="10" eb="11">
      <t>ウゴ</t>
    </rPh>
    <rPh sb="13" eb="14">
      <t>ミ</t>
    </rPh>
    <rPh sb="23" eb="25">
      <t>ジジツ</t>
    </rPh>
    <rPh sb="29" eb="30">
      <t>フ</t>
    </rPh>
    <rPh sb="34" eb="36">
      <t>インショウ</t>
    </rPh>
    <rPh sb="40" eb="41">
      <t>ジャク</t>
    </rPh>
    <rPh sb="43" eb="45">
      <t>シゲン</t>
    </rPh>
    <rPh sb="45" eb="46">
      <t>コク</t>
    </rPh>
    <rPh sb="46" eb="48">
      <t>ツウカ</t>
    </rPh>
    <rPh sb="48" eb="49">
      <t>ジャク</t>
    </rPh>
    <rPh sb="61" eb="62">
      <t>キョウ</t>
    </rPh>
    <rPh sb="69" eb="70">
      <t>キョウ</t>
    </rPh>
    <phoneticPr fontId="17"/>
  </si>
  <si>
    <t>EB 直近Hをclear、wkでの直近Hもcでclearしそう。但し、entryはUpChannelのmid.Line付近。
T:Res-&gt;1.58346</t>
    <rPh sb="3" eb="5">
      <t>チョッキン</t>
    </rPh>
    <rPh sb="17" eb="19">
      <t>チョッキン</t>
    </rPh>
    <rPh sb="32" eb="33">
      <t>タダ</t>
    </rPh>
    <rPh sb="59" eb="61">
      <t>フキン</t>
    </rPh>
    <phoneticPr fontId="13"/>
  </si>
  <si>
    <t>だが見逃している通貨pair（動きの分かりやすい）・pointもある。全部tradeするべきではないと思うが。。。</t>
    <rPh sb="2" eb="4">
      <t>ミノガ</t>
    </rPh>
    <rPh sb="8" eb="10">
      <t>ツウカ</t>
    </rPh>
    <rPh sb="15" eb="16">
      <t>ウゴ</t>
    </rPh>
    <rPh sb="18" eb="19">
      <t>ワ</t>
    </rPh>
    <rPh sb="35" eb="37">
      <t>ゼンブ</t>
    </rPh>
    <rPh sb="51" eb="52">
      <t>オモ</t>
    </rPh>
    <phoneticPr fontId="17"/>
  </si>
  <si>
    <t>entry :　UT中adj後PB(陽線)  price設定→spread分を上乗せしている。　LC設定→Chart読み取り値のまま。その分、entryのLotが小さくなるが、これでやってみる。　　株の状況　and　FOMC開催中を考慮すると、それほど伸びないかもしれないので、4H　or　1Hでのexitを検討。
LC : 
Target : 23.6-&gt;0.9707　　0.0-&gt;1.01272
Exit : 7.30のcandle確定後7.29LにLCをtrail、7.31の下髭（ChannelLineを一旦割っている）でLC。残念！！</t>
    <rPh sb="10" eb="11">
      <t>チュウ</t>
    </rPh>
    <rPh sb="14" eb="15">
      <t>ゴ</t>
    </rPh>
    <rPh sb="18" eb="20">
      <t>ヨウセン</t>
    </rPh>
    <rPh sb="28" eb="30">
      <t>セッテイ</t>
    </rPh>
    <rPh sb="37" eb="38">
      <t>ブン</t>
    </rPh>
    <rPh sb="39" eb="41">
      <t>ウワノ</t>
    </rPh>
    <rPh sb="50" eb="52">
      <t>セッテイ</t>
    </rPh>
    <rPh sb="58" eb="59">
      <t>ヨ</t>
    </rPh>
    <rPh sb="60" eb="61">
      <t>ト</t>
    </rPh>
    <rPh sb="62" eb="63">
      <t>チ</t>
    </rPh>
    <rPh sb="69" eb="70">
      <t>ブン</t>
    </rPh>
    <rPh sb="81" eb="82">
      <t>チイ</t>
    </rPh>
    <rPh sb="99" eb="100">
      <t>カブ</t>
    </rPh>
    <rPh sb="101" eb="103">
      <t>ジョウキョウ</t>
    </rPh>
    <rPh sb="112" eb="115">
      <t>カイサイチュウ</t>
    </rPh>
    <rPh sb="116" eb="118">
      <t>コウリョ</t>
    </rPh>
    <rPh sb="126" eb="127">
      <t>ノ</t>
    </rPh>
    <rPh sb="154" eb="156">
      <t>ケントウ</t>
    </rPh>
    <rPh sb="218" eb="220">
      <t>カクテイ</t>
    </rPh>
    <rPh sb="220" eb="221">
      <t>ゴ</t>
    </rPh>
    <rPh sb="241" eb="242">
      <t>シタ</t>
    </rPh>
    <rPh sb="242" eb="243">
      <t>ヒゲ</t>
    </rPh>
    <rPh sb="256" eb="258">
      <t>イッタン</t>
    </rPh>
    <rPh sb="258" eb="259">
      <t>ワ</t>
    </rPh>
    <rPh sb="268" eb="270">
      <t>ザンネン</t>
    </rPh>
    <phoneticPr fontId="15"/>
  </si>
  <si>
    <t>entry :　天井から1段下落したところでモミ合いでPB(陰線)
LC : 
Target : supp→1.29520　or　23.6-&gt;1.28715
Exit : Targetに届かずexitだがok。H1でtrailしていたらもう少し取れていた可能性はあるが、やりすぎると短期&amp;小幅取になってしまう。</t>
    <rPh sb="8" eb="10">
      <t>テンジョウ</t>
    </rPh>
    <rPh sb="13" eb="14">
      <t>ダン</t>
    </rPh>
    <rPh sb="14" eb="16">
      <t>ゲラク</t>
    </rPh>
    <rPh sb="24" eb="25">
      <t>ア</t>
    </rPh>
    <rPh sb="30" eb="32">
      <t>インセン</t>
    </rPh>
    <rPh sb="93" eb="94">
      <t>トド</t>
    </rPh>
    <rPh sb="120" eb="121">
      <t>スコ</t>
    </rPh>
    <rPh sb="122" eb="123">
      <t>ト</t>
    </rPh>
    <rPh sb="127" eb="130">
      <t>カノウセイ</t>
    </rPh>
    <rPh sb="141" eb="143">
      <t>タンキ</t>
    </rPh>
    <rPh sb="144" eb="146">
      <t>コハバ</t>
    </rPh>
    <rPh sb="146" eb="147">
      <t>トリ</t>
    </rPh>
    <phoneticPr fontId="15"/>
  </si>
  <si>
    <t>entry :　1度、底から38.2まで戻したが再度下落でDoubleBottom形成。その後の上昇途中でPB(陽線)
LC : 
Target : 38.2-&gt;92.142
Exit : Entryを設定したcandleの前でEB成立なのでentryがcandle一本遅い。但し、急落からのreboundの途中なので、一度はadjを想定しておくべき環境。</t>
    <rPh sb="9" eb="10">
      <t>ド</t>
    </rPh>
    <rPh sb="11" eb="12">
      <t>ソコ</t>
    </rPh>
    <rPh sb="20" eb="21">
      <t>モド</t>
    </rPh>
    <rPh sb="24" eb="26">
      <t>サイド</t>
    </rPh>
    <rPh sb="26" eb="28">
      <t>ゲラク</t>
    </rPh>
    <rPh sb="41" eb="43">
      <t>ケイセイ</t>
    </rPh>
    <rPh sb="46" eb="47">
      <t>ゴ</t>
    </rPh>
    <rPh sb="48" eb="50">
      <t>ジョウショウ</t>
    </rPh>
    <rPh sb="50" eb="52">
      <t>トチュウ</t>
    </rPh>
    <rPh sb="56" eb="58">
      <t>ヨウセン</t>
    </rPh>
    <rPh sb="133" eb="135">
      <t>イッポン</t>
    </rPh>
    <rPh sb="135" eb="136">
      <t>オソ</t>
    </rPh>
    <rPh sb="138" eb="139">
      <t>タダ</t>
    </rPh>
    <rPh sb="141" eb="143">
      <t>キュウラク</t>
    </rPh>
    <rPh sb="154" eb="156">
      <t>トチュウ</t>
    </rPh>
    <rPh sb="160" eb="162">
      <t>イチド</t>
    </rPh>
    <rPh sb="167" eb="169">
      <t>ソウテイ</t>
    </rPh>
    <rPh sb="175" eb="177">
      <t>カンキョウ</t>
    </rPh>
    <phoneticPr fontId="15"/>
  </si>
  <si>
    <t>15.7.31　12:33</t>
    <phoneticPr fontId="13"/>
  </si>
  <si>
    <t>entry :　supp割れ狙い
LC : 
Target : -68.1-&gt;0.66955
Exit : 小さいtriangle（Dayで見ても）の中でのRandomWalkに反応してしまった。因みに今（8/21)に至るまでrange（0.0-23.6)内の動きになっている。</t>
    <rPh sb="12" eb="13">
      <t>ワ</t>
    </rPh>
    <rPh sb="14" eb="15">
      <t>ネラ</t>
    </rPh>
    <rPh sb="54" eb="55">
      <t>チイ</t>
    </rPh>
    <rPh sb="70" eb="71">
      <t>ミ</t>
    </rPh>
    <rPh sb="75" eb="76">
      <t>ナカ</t>
    </rPh>
    <rPh sb="89" eb="91">
      <t>ハンノウ</t>
    </rPh>
    <rPh sb="98" eb="99">
      <t>チナ</t>
    </rPh>
    <rPh sb="101" eb="102">
      <t>イマ</t>
    </rPh>
    <rPh sb="109" eb="110">
      <t>イタ</t>
    </rPh>
    <rPh sb="128" eb="129">
      <t>ナイ</t>
    </rPh>
    <rPh sb="130" eb="131">
      <t>ウゴ</t>
    </rPh>
    <phoneticPr fontId="15"/>
  </si>
  <si>
    <t>entry :　
LC : 
Target : 
Exit : ほぼ天井付近でのexitになっているのでok。</t>
    <rPh sb="34" eb="36">
      <t>テンジョウ</t>
    </rPh>
    <rPh sb="36" eb="38">
      <t>フキン</t>
    </rPh>
    <phoneticPr fontId="15"/>
  </si>
  <si>
    <t>15.8.10. 16:33</t>
    <phoneticPr fontId="13"/>
  </si>
  <si>
    <t>entry :　
LC : 
Target : S/R-&gt;1.56503
Exit : Triangle下辺から上辺付近。小さい値動きのなかで＋を取れたのはlucky</t>
    <rPh sb="52" eb="54">
      <t>カヘン</t>
    </rPh>
    <rPh sb="56" eb="58">
      <t>ジョウヘン</t>
    </rPh>
    <rPh sb="58" eb="60">
      <t>フキン</t>
    </rPh>
    <rPh sb="61" eb="62">
      <t>チイ</t>
    </rPh>
    <rPh sb="64" eb="66">
      <t>ネウゴ</t>
    </rPh>
    <rPh sb="73" eb="74">
      <t>ト</t>
    </rPh>
    <phoneticPr fontId="15"/>
  </si>
  <si>
    <t>entry :　
LC : 
Target : 
Exit : 直近Lを0.0とするFIBの23.6までのupを狙ってentryだったがダマシ。Randomな動きの最中に強い動きを想定していたが、このような場所では押してからのentryのほうが安全。</t>
    <rPh sb="32" eb="34">
      <t>チョッキン</t>
    </rPh>
    <rPh sb="56" eb="57">
      <t>ネラ</t>
    </rPh>
    <rPh sb="79" eb="80">
      <t>ウゴ</t>
    </rPh>
    <rPh sb="82" eb="84">
      <t>サイチュウ</t>
    </rPh>
    <rPh sb="85" eb="86">
      <t>ツヨ</t>
    </rPh>
    <rPh sb="87" eb="88">
      <t>ウゴ</t>
    </rPh>
    <rPh sb="90" eb="92">
      <t>ソウテイ</t>
    </rPh>
    <rPh sb="103" eb="105">
      <t>バショ</t>
    </rPh>
    <rPh sb="107" eb="108">
      <t>オ</t>
    </rPh>
    <rPh sb="122" eb="124">
      <t>アンゼン</t>
    </rPh>
    <phoneticPr fontId="15"/>
  </si>
  <si>
    <t>entry :　
LC : 
Target : 
Exit : H1でtrailしていたのでもう少しexitを上にできたいたが、これでもok</t>
    <rPh sb="48" eb="49">
      <t>スコ</t>
    </rPh>
    <rPh sb="55" eb="56">
      <t>ウエ</t>
    </rPh>
    <phoneticPr fontId="15"/>
  </si>
  <si>
    <t>entry :　
LC : 
Target : 
Exit : 23.6越え後にdown開始。その後のdownの流れに載れていないのは油断！！</t>
    <rPh sb="36" eb="37">
      <t>コ</t>
    </rPh>
    <rPh sb="38" eb="39">
      <t>ゴ</t>
    </rPh>
    <rPh sb="44" eb="46">
      <t>カイシ</t>
    </rPh>
    <rPh sb="49" eb="50">
      <t>ゴ</t>
    </rPh>
    <rPh sb="56" eb="57">
      <t>ナガ</t>
    </rPh>
    <rPh sb="59" eb="60">
      <t>ノ</t>
    </rPh>
    <rPh sb="67" eb="69">
      <t>ユダン</t>
    </rPh>
    <phoneticPr fontId="15"/>
  </si>
  <si>
    <t>entry :　
LC : 
Target : 
Exit : 何も悪くないentryと思うが、entryの次のcandle時にLC hunt若しくはspreadを広くせっていされた可能性がある。</t>
    <rPh sb="32" eb="33">
      <t>ナニ</t>
    </rPh>
    <rPh sb="34" eb="35">
      <t>ワル</t>
    </rPh>
    <rPh sb="44" eb="45">
      <t>オモ</t>
    </rPh>
    <rPh sb="54" eb="55">
      <t>ツギ</t>
    </rPh>
    <rPh sb="62" eb="63">
      <t>ジ</t>
    </rPh>
    <rPh sb="71" eb="72">
      <t>モ</t>
    </rPh>
    <rPh sb="82" eb="83">
      <t>ヒロ</t>
    </rPh>
    <rPh sb="91" eb="94">
      <t>カノウセイ</t>
    </rPh>
    <phoneticPr fontId="15"/>
  </si>
  <si>
    <t>entry :　
LC : 
Target : 
Exit : DownChannel上抜けを確認してからentryすべきだった。</t>
    <rPh sb="43" eb="44">
      <t>ウワ</t>
    </rPh>
    <rPh sb="44" eb="45">
      <t>ヌ</t>
    </rPh>
    <rPh sb="47" eb="49">
      <t>カクニン</t>
    </rPh>
    <phoneticPr fontId="15"/>
  </si>
  <si>
    <t>15.8.24 6:00</t>
    <phoneticPr fontId="13"/>
  </si>
  <si>
    <r>
      <t>1</t>
    </r>
    <r>
      <rPr>
        <sz val="11"/>
        <color indexed="8"/>
        <rFont val="ＭＳ Ｐゴシック"/>
        <family val="3"/>
        <charset val="128"/>
      </rPr>
      <t>5.8.21 17:00L</t>
    </r>
    <phoneticPr fontId="13"/>
  </si>
  <si>
    <t>Target : 1.58300
wkでの直近H</t>
    <rPh sb="21" eb="23">
      <t>チョッキン</t>
    </rPh>
    <phoneticPr fontId="13"/>
  </si>
  <si>
    <t>15.8.24 11:42</t>
    <phoneticPr fontId="13"/>
  </si>
  <si>
    <t>D</t>
    <phoneticPr fontId="13"/>
  </si>
  <si>
    <t>15.8.24 12:30</t>
    <phoneticPr fontId="13"/>
  </si>
  <si>
    <t>値動きがはっきりせず、急落の可能性を考慮し一旦exit</t>
    <rPh sb="0" eb="2">
      <t>ネウゴ</t>
    </rPh>
    <rPh sb="11" eb="13">
      <t>キュウラク</t>
    </rPh>
    <rPh sb="14" eb="17">
      <t>カノウセイ</t>
    </rPh>
    <rPh sb="18" eb="20">
      <t>コウリョ</t>
    </rPh>
    <rPh sb="21" eb="23">
      <t>イッタン</t>
    </rPh>
    <phoneticPr fontId="13"/>
  </si>
  <si>
    <t>Total : 37 trade
W : 11
L : 15
NoTrade : 11</t>
    <phoneticPr fontId="13"/>
  </si>
  <si>
    <r>
      <t>1</t>
    </r>
    <r>
      <rPr>
        <sz val="11"/>
        <color indexed="8"/>
        <rFont val="ＭＳ Ｐゴシック"/>
        <family val="3"/>
        <charset val="128"/>
      </rPr>
      <t>5.8.24 13:25</t>
    </r>
    <phoneticPr fontId="17"/>
  </si>
  <si>
    <t>どうもJPY・CHFが強いと思ったほうが良さそう。EURはこれまでのところ強いように見えるが、中国&lt;-&gt;ドイツ、EURの信任（ギリシャ・スペイン-Venezuela石油公社のdefault懸念）等がCloseUpされるかも。</t>
    <rPh sb="11" eb="12">
      <t>ツヨ</t>
    </rPh>
    <rPh sb="14" eb="15">
      <t>オモ</t>
    </rPh>
    <rPh sb="20" eb="21">
      <t>ヨ</t>
    </rPh>
    <rPh sb="37" eb="38">
      <t>ツヨ</t>
    </rPh>
    <rPh sb="42" eb="43">
      <t>ミ</t>
    </rPh>
    <rPh sb="47" eb="49">
      <t>チュウゴク</t>
    </rPh>
    <rPh sb="60" eb="62">
      <t>シンニン</t>
    </rPh>
    <rPh sb="82" eb="84">
      <t>セキユ</t>
    </rPh>
    <rPh sb="84" eb="86">
      <t>コウシャ</t>
    </rPh>
    <rPh sb="94" eb="96">
      <t>ケネン</t>
    </rPh>
    <rPh sb="97" eb="98">
      <t>トウ</t>
    </rPh>
    <phoneticPr fontId="17"/>
  </si>
  <si>
    <r>
      <t xml:space="preserve">今朝時点で残っていたpositionをclose。EURAUD </t>
    </r>
    <r>
      <rPr>
        <b/>
        <sz val="11"/>
        <color indexed="8"/>
        <rFont val="ＭＳ Ｐゴシック"/>
        <family val="3"/>
        <charset val="128"/>
      </rPr>
      <t>TradeNumber:36 (+517.4pips)</t>
    </r>
    <r>
      <rPr>
        <sz val="11"/>
        <color indexed="8"/>
        <rFont val="ＭＳ Ｐゴシック"/>
        <family val="3"/>
        <charset val="128"/>
      </rPr>
      <t>でtarget到達。GBPUSD　</t>
    </r>
    <r>
      <rPr>
        <b/>
        <sz val="11"/>
        <color indexed="8"/>
        <rFont val="ＭＳ Ｐゴシック"/>
        <family val="3"/>
        <charset val="128"/>
      </rPr>
      <t>TradeNumber:37(-19.5pips)</t>
    </r>
    <r>
      <rPr>
        <sz val="11"/>
        <color indexed="8"/>
        <rFont val="ＭＳ Ｐゴシック"/>
        <family val="3"/>
        <charset val="128"/>
      </rPr>
      <t>は値動きがはっきりしなかったので一旦撤退した。</t>
    </r>
    <rPh sb="0" eb="2">
      <t>ケサ</t>
    </rPh>
    <rPh sb="2" eb="4">
      <t>ジテン</t>
    </rPh>
    <rPh sb="5" eb="6">
      <t>ノコ</t>
    </rPh>
    <rPh sb="66" eb="68">
      <t>トウタツ</t>
    </rPh>
    <rPh sb="102" eb="104">
      <t>ネウゴ</t>
    </rPh>
    <rPh sb="117" eb="119">
      <t>イッタン</t>
    </rPh>
    <rPh sb="119" eb="121">
      <t>テッタイ</t>
    </rPh>
    <phoneticPr fontId="17"/>
  </si>
  <si>
    <t>15.7.23 - 15.8.24</t>
    <phoneticPr fontId="14"/>
  </si>
  <si>
    <t>L</t>
    <phoneticPr fontId="13"/>
  </si>
  <si>
    <t>L</t>
    <phoneticPr fontId="13"/>
  </si>
  <si>
    <t>PB .23.6越え&amp;adj後に発生
T:38.2-&gt;120.92</t>
    <rPh sb="8" eb="9">
      <t>コ</t>
    </rPh>
    <rPh sb="14" eb="15">
      <t>ゴ</t>
    </rPh>
    <rPh sb="16" eb="18">
      <t>ハッセイ</t>
    </rPh>
    <phoneticPr fontId="13"/>
  </si>
  <si>
    <t>15.8.25 14:00H+sp</t>
    <phoneticPr fontId="13"/>
  </si>
  <si>
    <t>15.8.25 14:54</t>
    <phoneticPr fontId="13"/>
  </si>
  <si>
    <t>PB 38.2越え&amp;adj後に発生
T:61.8-&gt;191.499</t>
    <rPh sb="7" eb="8">
      <t>コ</t>
    </rPh>
    <rPh sb="13" eb="14">
      <t>ゴ</t>
    </rPh>
    <rPh sb="15" eb="17">
      <t>ハッセイ</t>
    </rPh>
    <phoneticPr fontId="13"/>
  </si>
  <si>
    <t>15.8.25 21:12</t>
    <phoneticPr fontId="13"/>
  </si>
  <si>
    <t>entry :　
LC : 
Target : 
Exit : 無駄なentryだった。H1の足が確定する前に注文を入れてしまい、想定したentryでは低すぎる逆指値になってしまった。</t>
    <rPh sb="32" eb="34">
      <t>ムダ</t>
    </rPh>
    <rPh sb="47" eb="48">
      <t>アシ</t>
    </rPh>
    <rPh sb="49" eb="51">
      <t>カクテイ</t>
    </rPh>
    <rPh sb="53" eb="54">
      <t>マエ</t>
    </rPh>
    <rPh sb="55" eb="57">
      <t>チュウモン</t>
    </rPh>
    <rPh sb="58" eb="59">
      <t>イ</t>
    </rPh>
    <rPh sb="65" eb="67">
      <t>ソウテイ</t>
    </rPh>
    <rPh sb="76" eb="77">
      <t>ヒク</t>
    </rPh>
    <rPh sb="80" eb="81">
      <t>ギャク</t>
    </rPh>
    <rPh sb="81" eb="83">
      <t>サシネ</t>
    </rPh>
    <phoneticPr fontId="15"/>
  </si>
  <si>
    <t>cancel：想定したLCよりも下がってしまった</t>
    <rPh sb="7" eb="9">
      <t>ソウテイ</t>
    </rPh>
    <rPh sb="16" eb="17">
      <t>サ</t>
    </rPh>
    <phoneticPr fontId="13"/>
  </si>
  <si>
    <t>cancel</t>
    <phoneticPr fontId="13"/>
  </si>
  <si>
    <t>EURJPY</t>
    <phoneticPr fontId="13"/>
  </si>
  <si>
    <t>EB 23.6にあたって越えられないCandle3本。3本目でEB。
T：38.2-&gt;135.327
　　50.0-&gt;133.562</t>
    <rPh sb="12" eb="13">
      <t>コ</t>
    </rPh>
    <rPh sb="25" eb="26">
      <t>ホン</t>
    </rPh>
    <rPh sb="28" eb="29">
      <t>ホン</t>
    </rPh>
    <rPh sb="29" eb="30">
      <t>メ</t>
    </rPh>
    <phoneticPr fontId="13"/>
  </si>
  <si>
    <t>15.8.26 8:00L-sp</t>
    <phoneticPr fontId="13"/>
  </si>
  <si>
    <t>15.8.26 12:08</t>
    <phoneticPr fontId="13"/>
  </si>
  <si>
    <t>S</t>
    <phoneticPr fontId="13"/>
  </si>
  <si>
    <t>AUDJPY</t>
    <phoneticPr fontId="13"/>
  </si>
  <si>
    <t>EB&amp;23.6割れ</t>
    <rPh sb="7" eb="8">
      <t>ワ</t>
    </rPh>
    <phoneticPr fontId="13"/>
  </si>
  <si>
    <t>23.6割れ</t>
    <rPh sb="4" eb="5">
      <t>ワ</t>
    </rPh>
    <phoneticPr fontId="13"/>
  </si>
  <si>
    <t>15.8.26 16:00H</t>
    <phoneticPr fontId="13"/>
  </si>
  <si>
    <t>15.8.26 18:33</t>
    <phoneticPr fontId="13"/>
  </si>
  <si>
    <t>L</t>
    <phoneticPr fontId="13"/>
  </si>
  <si>
    <t>EB 38.2を跨いで発生。1本前は陰線だがPBっぽい。
T：50.0-&gt;120.653
　61.8-&gt;121.742</t>
    <rPh sb="8" eb="9">
      <t>マタ</t>
    </rPh>
    <rPh sb="11" eb="13">
      <t>ハッセイ</t>
    </rPh>
    <rPh sb="15" eb="16">
      <t>ホン</t>
    </rPh>
    <rPh sb="16" eb="17">
      <t>マエ</t>
    </rPh>
    <rPh sb="18" eb="20">
      <t>インセン</t>
    </rPh>
    <phoneticPr fontId="13"/>
  </si>
  <si>
    <t>15.8.27 0:22</t>
    <phoneticPr fontId="13"/>
  </si>
  <si>
    <t>15.8.26 20:00H</t>
    <phoneticPr fontId="13"/>
  </si>
  <si>
    <t>H4</t>
    <phoneticPr fontId="13"/>
  </si>
  <si>
    <t>15.8.27 0:32</t>
    <phoneticPr fontId="13"/>
  </si>
  <si>
    <t>Initial LC</t>
    <phoneticPr fontId="13"/>
  </si>
  <si>
    <t>entry :　
LC : 
Target : 
Exit : EURJPY(TN40)entry後順行していたので、JPY upの流れを想定してin。Supp（23.6)をヒゲで割れて逆行。EURJPYも＋だがLC trailで引っかかりそうな状態になっている。</t>
    <phoneticPr fontId="15"/>
  </si>
  <si>
    <t>H1</t>
    <phoneticPr fontId="13"/>
  </si>
  <si>
    <t>15.8.27 0:36</t>
    <phoneticPr fontId="13"/>
  </si>
  <si>
    <t>15.8.26 2:00H</t>
    <phoneticPr fontId="13"/>
  </si>
  <si>
    <t>entry :　
LC : 
Target : 
Exit : AUDJPY(TN41)に続いてexit。JPY upの流れに一瞬なったが、又戻ってしまった。TN42:USDJPYもentryしているので環境の見極めに努める。</t>
    <rPh sb="45" eb="46">
      <t>ツヅ</t>
    </rPh>
    <rPh sb="60" eb="61">
      <t>ナガ</t>
    </rPh>
    <rPh sb="63" eb="65">
      <t>イッシュン</t>
    </rPh>
    <rPh sb="70" eb="71">
      <t>マタ</t>
    </rPh>
    <rPh sb="71" eb="72">
      <t>モド</t>
    </rPh>
    <rPh sb="102" eb="104">
      <t>カンキョウ</t>
    </rPh>
    <rPh sb="105" eb="107">
      <t>ミキワ</t>
    </rPh>
    <rPh sb="109" eb="110">
      <t>ツト</t>
    </rPh>
    <phoneticPr fontId="15"/>
  </si>
  <si>
    <t>entry中止</t>
    <rPh sb="5" eb="7">
      <t>チュウシ</t>
    </rPh>
    <phoneticPr fontId="13"/>
  </si>
  <si>
    <t>entry :　
LC : 
Target : 
Exit : 昨夜はJPY upの流れに見えたが、DOW大幅upの流れでUSD upに変わったようだ。TN41・42は真逆の結果だった。但し、このtradeはDay想定なので、環境認識をもう少し確実にする必要がある。MACD-Hのdivergenceも出ているので。</t>
    <rPh sb="32" eb="34">
      <t>サクヤ</t>
    </rPh>
    <rPh sb="42" eb="43">
      <t>ナガ</t>
    </rPh>
    <rPh sb="45" eb="46">
      <t>ミ</t>
    </rPh>
    <rPh sb="53" eb="55">
      <t>オオハバ</t>
    </rPh>
    <rPh sb="58" eb="59">
      <t>ナガ</t>
    </rPh>
    <rPh sb="68" eb="69">
      <t>カ</t>
    </rPh>
    <rPh sb="84" eb="86">
      <t>マギャク</t>
    </rPh>
    <rPh sb="87" eb="89">
      <t>ケッカ</t>
    </rPh>
    <rPh sb="93" eb="94">
      <t>タダ</t>
    </rPh>
    <rPh sb="107" eb="109">
      <t>ソウテイ</t>
    </rPh>
    <rPh sb="113" eb="115">
      <t>カンキョウ</t>
    </rPh>
    <rPh sb="115" eb="117">
      <t>ニンシキ</t>
    </rPh>
    <rPh sb="120" eb="121">
      <t>スコ</t>
    </rPh>
    <rPh sb="122" eb="124">
      <t>カクジツ</t>
    </rPh>
    <rPh sb="127" eb="129">
      <t>ヒツヨウ</t>
    </rPh>
    <rPh sb="151" eb="152">
      <t>デ</t>
    </rPh>
    <phoneticPr fontId="15"/>
  </si>
  <si>
    <t>USDCAD</t>
    <phoneticPr fontId="13"/>
  </si>
  <si>
    <t>15.8.27 6:09</t>
    <phoneticPr fontId="13"/>
  </si>
  <si>
    <t>強制</t>
    <rPh sb="0" eb="2">
      <t>キョウセイ</t>
    </rPh>
    <phoneticPr fontId="13"/>
  </si>
  <si>
    <t>entry後どうも値動きがモタモタ。2candle続けて長い上髭になりそうだったので、一旦、強制決済。</t>
    <rPh sb="5" eb="6">
      <t>ゴ</t>
    </rPh>
    <rPh sb="9" eb="11">
      <t>ネウゴ</t>
    </rPh>
    <rPh sb="25" eb="26">
      <t>ツヅ</t>
    </rPh>
    <rPh sb="28" eb="29">
      <t>ナガ</t>
    </rPh>
    <rPh sb="30" eb="32">
      <t>ウワヒゲ</t>
    </rPh>
    <rPh sb="43" eb="45">
      <t>イッタン</t>
    </rPh>
    <rPh sb="46" eb="48">
      <t>キョウセイ</t>
    </rPh>
    <rPh sb="48" eb="50">
      <t>ケッサイ</t>
    </rPh>
    <phoneticPr fontId="13"/>
  </si>
  <si>
    <t>entry :　
LC : 
Target : 
Exit : TN40・41・43に続いて行ったtrade。JPY upなのかJPY downなのかよく分からない動きなので強制決済。環境把握継続。</t>
    <rPh sb="43" eb="44">
      <t>ツヅ</t>
    </rPh>
    <rPh sb="46" eb="47">
      <t>オコナ</t>
    </rPh>
    <rPh sb="77" eb="78">
      <t>ワ</t>
    </rPh>
    <rPh sb="82" eb="83">
      <t>ウゴ</t>
    </rPh>
    <rPh sb="87" eb="89">
      <t>キョウセイ</t>
    </rPh>
    <rPh sb="89" eb="91">
      <t>ケッサイ</t>
    </rPh>
    <rPh sb="92" eb="94">
      <t>カンキョウ</t>
    </rPh>
    <rPh sb="94" eb="96">
      <t>ハアク</t>
    </rPh>
    <rPh sb="96" eb="98">
      <t>ケイゾク</t>
    </rPh>
    <phoneticPr fontId="15"/>
  </si>
  <si>
    <t>L</t>
    <phoneticPr fontId="13"/>
  </si>
  <si>
    <t>EB 23.6越えで発生
T：38.2-&gt;186.092
　　50.0-&gt;189.260</t>
    <rPh sb="7" eb="8">
      <t>コ</t>
    </rPh>
    <rPh sb="10" eb="12">
      <t>ハッセイ</t>
    </rPh>
    <phoneticPr fontId="13"/>
  </si>
  <si>
    <t>EB 前2本のcandle（両方とも長い上髭）を包んでる。又、Resを越えたあたり。
T：61.8-&gt;121.742
　　　　次のResのあたり</t>
    <rPh sb="3" eb="4">
      <t>マエ</t>
    </rPh>
    <rPh sb="5" eb="6">
      <t>ホン</t>
    </rPh>
    <rPh sb="14" eb="16">
      <t>リョウホウ</t>
    </rPh>
    <rPh sb="18" eb="19">
      <t>ナガ</t>
    </rPh>
    <rPh sb="20" eb="22">
      <t>ウワヒゲ</t>
    </rPh>
    <rPh sb="24" eb="25">
      <t>ツツ</t>
    </rPh>
    <rPh sb="29" eb="30">
      <t>マタ</t>
    </rPh>
    <rPh sb="35" eb="36">
      <t>コ</t>
    </rPh>
    <rPh sb="63" eb="64">
      <t>ツギ</t>
    </rPh>
    <phoneticPr fontId="13"/>
  </si>
  <si>
    <t>S</t>
    <phoneticPr fontId="13"/>
  </si>
  <si>
    <t>EB Triangleを抜けてdown&amp;Resまで戻りきらず再度down開始した感じ。
T：50.0-&gt;133.562</t>
    <rPh sb="12" eb="13">
      <t>ヌ</t>
    </rPh>
    <rPh sb="25" eb="26">
      <t>モド</t>
    </rPh>
    <rPh sb="30" eb="32">
      <t>サイド</t>
    </rPh>
    <rPh sb="36" eb="38">
      <t>カイシ</t>
    </rPh>
    <rPh sb="40" eb="41">
      <t>カン</t>
    </rPh>
    <phoneticPr fontId="13"/>
  </si>
  <si>
    <t>15.8.27 13:03</t>
    <phoneticPr fontId="13"/>
  </si>
  <si>
    <t>entry前にLCを下回ったのでcancel</t>
    <rPh sb="5" eb="6">
      <t>マエ</t>
    </rPh>
    <rPh sb="10" eb="12">
      <t>シタマワ</t>
    </rPh>
    <phoneticPr fontId="13"/>
  </si>
  <si>
    <t>cancel</t>
    <phoneticPr fontId="13"/>
  </si>
  <si>
    <t>15.8.27 15:37</t>
    <phoneticPr fontId="13"/>
  </si>
  <si>
    <t>H1</t>
    <phoneticPr fontId="13"/>
  </si>
  <si>
    <t>15.8.27 19:03</t>
    <phoneticPr fontId="13"/>
  </si>
  <si>
    <t>15.8.27 15:00H</t>
    <phoneticPr fontId="13"/>
  </si>
  <si>
    <t>entry :　
LC : 
Target : 
Exit : 38.2 touchで急反発。戻しのlevelをwatch継続。</t>
    <rPh sb="43" eb="46">
      <t>キュウハンパツ</t>
    </rPh>
    <rPh sb="47" eb="48">
      <t>モド</t>
    </rPh>
    <rPh sb="61" eb="63">
      <t>ケイゾク</t>
    </rPh>
    <phoneticPr fontId="15"/>
  </si>
  <si>
    <t>L</t>
    <phoneticPr fontId="13"/>
  </si>
  <si>
    <t>Dow H&amp;S Bからup。直近H付近でsauser
T：61.8-&gt;88.572
　　Res-&gt;89.066</t>
    <rPh sb="14" eb="16">
      <t>チョッキン</t>
    </rPh>
    <rPh sb="17" eb="19">
      <t>フキン</t>
    </rPh>
    <phoneticPr fontId="13"/>
  </si>
  <si>
    <t>15.8.27 8:00H+sp</t>
    <phoneticPr fontId="13"/>
  </si>
  <si>
    <t>15.8.27 8:00L-sp</t>
    <phoneticPr fontId="13"/>
  </si>
  <si>
    <t>15.8.27 19:00H+sp</t>
    <phoneticPr fontId="13"/>
  </si>
  <si>
    <t>15.8.27 22:00L</t>
    <phoneticPr fontId="13"/>
  </si>
  <si>
    <t>15.8.28 3:07</t>
    <phoneticPr fontId="13"/>
  </si>
  <si>
    <t>L</t>
    <phoneticPr fontId="13"/>
  </si>
  <si>
    <t>Sandwich 0.0越え後再びdownして、supp付近で下髭連続
T：-61.8-&gt;1.38831
　　次のResとも重なっている</t>
    <rPh sb="12" eb="13">
      <t>コ</t>
    </rPh>
    <rPh sb="14" eb="15">
      <t>ゴ</t>
    </rPh>
    <rPh sb="15" eb="16">
      <t>フタタ</t>
    </rPh>
    <rPh sb="28" eb="30">
      <t>フキン</t>
    </rPh>
    <rPh sb="31" eb="32">
      <t>シタ</t>
    </rPh>
    <rPh sb="32" eb="33">
      <t>ヒゲ</t>
    </rPh>
    <rPh sb="33" eb="35">
      <t>レンゾク</t>
    </rPh>
    <rPh sb="55" eb="56">
      <t>ツギ</t>
    </rPh>
    <rPh sb="62" eb="63">
      <t>カサ</t>
    </rPh>
    <phoneticPr fontId="13"/>
  </si>
  <si>
    <t>15.8.28 0:00H+sp</t>
    <phoneticPr fontId="13"/>
  </si>
  <si>
    <t>15.8.28 4:00L</t>
    <phoneticPr fontId="13"/>
  </si>
  <si>
    <t>15.8.28 9:34</t>
    <phoneticPr fontId="13"/>
  </si>
  <si>
    <t>15.8.28 14:00</t>
    <phoneticPr fontId="13"/>
  </si>
  <si>
    <t>entry時に使ったLCと同じ</t>
    <rPh sb="5" eb="6">
      <t>ジ</t>
    </rPh>
    <rPh sb="7" eb="8">
      <t>ツカ</t>
    </rPh>
    <rPh sb="13" eb="14">
      <t>オナ</t>
    </rPh>
    <phoneticPr fontId="13"/>
  </si>
  <si>
    <t>一度もLCを動かすことなくLC。こういう優位性の無いtradeを減らしたい！！！</t>
    <rPh sb="0" eb="2">
      <t>イチド</t>
    </rPh>
    <rPh sb="6" eb="7">
      <t>ウゴ</t>
    </rPh>
    <rPh sb="20" eb="23">
      <t>ユウイセイ</t>
    </rPh>
    <rPh sb="24" eb="25">
      <t>ナ</t>
    </rPh>
    <rPh sb="32" eb="33">
      <t>ヘ</t>
    </rPh>
    <phoneticPr fontId="13"/>
  </si>
  <si>
    <t>15.8.28 17:36</t>
    <phoneticPr fontId="13"/>
  </si>
  <si>
    <t>15.8.28 14:00L</t>
    <phoneticPr fontId="13"/>
  </si>
  <si>
    <r>
      <t>8</t>
    </r>
    <r>
      <rPr>
        <sz val="11"/>
        <color indexed="8"/>
        <rFont val="ＭＳ Ｐゴシック"/>
        <family val="3"/>
        <charset val="128"/>
      </rPr>
      <t>.28 17:00過ぎから急激な戻しで僅かな＋でexit。Dowがヨコヨコしてるので影響を受けたか？
USDJPYは徐々に上がっているが。</t>
    </r>
    <rPh sb="10" eb="11">
      <t>ス</t>
    </rPh>
    <rPh sb="14" eb="16">
      <t>キュウゲキ</t>
    </rPh>
    <rPh sb="17" eb="18">
      <t>モド</t>
    </rPh>
    <rPh sb="20" eb="21">
      <t>ワズ</t>
    </rPh>
    <rPh sb="43" eb="45">
      <t>エイキョウ</t>
    </rPh>
    <rPh sb="46" eb="47">
      <t>ウ</t>
    </rPh>
    <rPh sb="59" eb="61">
      <t>ジョジョ</t>
    </rPh>
    <rPh sb="62" eb="63">
      <t>ア</t>
    </rPh>
    <phoneticPr fontId="13"/>
  </si>
  <si>
    <t>15.8.30　7:32</t>
    <phoneticPr fontId="17"/>
  </si>
  <si>
    <r>
      <rPr>
        <b/>
        <sz val="11"/>
        <color indexed="8"/>
        <rFont val="ＭＳ Ｐゴシック"/>
        <family val="3"/>
        <charset val="128"/>
      </rPr>
      <t>TradeNumber:48</t>
    </r>
    <r>
      <rPr>
        <sz val="11"/>
        <color indexed="8"/>
        <rFont val="ＭＳ Ｐゴシック"/>
        <family val="3"/>
        <charset val="128"/>
      </rPr>
      <t>　で</t>
    </r>
    <r>
      <rPr>
        <b/>
        <sz val="11"/>
        <color indexed="8"/>
        <rFont val="ＭＳ Ｐゴシック"/>
        <family val="3"/>
        <charset val="128"/>
      </rPr>
      <t>Sandwich</t>
    </r>
    <r>
      <rPr>
        <sz val="11"/>
        <color indexed="8"/>
        <rFont val="ＭＳ Ｐゴシック"/>
        <family val="3"/>
        <charset val="128"/>
      </rPr>
      <t>のChartPatternをtryしてみた。思惑通りentryし順行したのでLCをtrail（わずかに＋）して寝てしまった。その後の急な戻しで僅かに＋でexit。</t>
    </r>
    <rPh sb="46" eb="48">
      <t>オモワク</t>
    </rPh>
    <rPh sb="48" eb="49">
      <t>ドオ</t>
    </rPh>
    <rPh sb="56" eb="58">
      <t>ジュンコウ</t>
    </rPh>
    <rPh sb="79" eb="80">
      <t>ネ</t>
    </rPh>
    <rPh sb="88" eb="89">
      <t>ゴ</t>
    </rPh>
    <rPh sb="90" eb="91">
      <t>キュウ</t>
    </rPh>
    <rPh sb="92" eb="93">
      <t>モド</t>
    </rPh>
    <rPh sb="95" eb="96">
      <t>ワズ</t>
    </rPh>
    <phoneticPr fontId="17"/>
  </si>
  <si>
    <t>Sandwichは急な戻しが多いのか？　Targetは大きく考えていたが、少なくとも直近H付近までは狙えると考えていた。</t>
    <rPh sb="9" eb="10">
      <t>キュウ</t>
    </rPh>
    <rPh sb="11" eb="12">
      <t>モド</t>
    </rPh>
    <rPh sb="14" eb="15">
      <t>オオ</t>
    </rPh>
    <rPh sb="27" eb="28">
      <t>オオ</t>
    </rPh>
    <rPh sb="30" eb="31">
      <t>カンガ</t>
    </rPh>
    <rPh sb="37" eb="38">
      <t>スク</t>
    </rPh>
    <rPh sb="42" eb="44">
      <t>チョッキン</t>
    </rPh>
    <rPh sb="45" eb="47">
      <t>フキン</t>
    </rPh>
    <rPh sb="50" eb="51">
      <t>ネラ</t>
    </rPh>
    <rPh sb="54" eb="55">
      <t>カンガ</t>
    </rPh>
    <phoneticPr fontId="17"/>
  </si>
  <si>
    <t>アイデア：ヨコヨコのcandleが少ないとき（～3本）は戻しが大きい。ヨコヨコのcandleが多いとき（4本～）は戻しが小さい。</t>
    <rPh sb="17" eb="18">
      <t>スク</t>
    </rPh>
    <rPh sb="25" eb="26">
      <t>ホン</t>
    </rPh>
    <rPh sb="28" eb="29">
      <t>モド</t>
    </rPh>
    <rPh sb="31" eb="32">
      <t>オオ</t>
    </rPh>
    <rPh sb="47" eb="48">
      <t>オオ</t>
    </rPh>
    <rPh sb="53" eb="54">
      <t>ホン</t>
    </rPh>
    <rPh sb="57" eb="58">
      <t>モド</t>
    </rPh>
    <rPh sb="60" eb="61">
      <t>チイ</t>
    </rPh>
    <phoneticPr fontId="17"/>
  </si>
  <si>
    <t>ヨコヨコの中の効果的なHとLを見つけてentry&amp;LCを決める。</t>
    <rPh sb="5" eb="6">
      <t>ナカ</t>
    </rPh>
    <rPh sb="7" eb="10">
      <t>コウカテキ</t>
    </rPh>
    <rPh sb="15" eb="16">
      <t>ミ</t>
    </rPh>
    <rPh sb="28" eb="29">
      <t>キ</t>
    </rPh>
    <phoneticPr fontId="17"/>
  </si>
  <si>
    <t>15.8.31 3:51</t>
    <phoneticPr fontId="13"/>
  </si>
  <si>
    <t>15.8.28 20:00L</t>
    <phoneticPr fontId="13"/>
  </si>
  <si>
    <r>
      <t>6</t>
    </r>
    <r>
      <rPr>
        <sz val="11"/>
        <color indexed="8"/>
        <rFont val="ＭＳ Ｐゴシック"/>
        <family val="3"/>
        <charset val="128"/>
      </rPr>
      <t>1.8手前で失速、だが、このまま落ちていくようには見えないが。。。。</t>
    </r>
    <rPh sb="4" eb="6">
      <t>テマエ</t>
    </rPh>
    <rPh sb="7" eb="9">
      <t>シッソク</t>
    </rPh>
    <rPh sb="17" eb="18">
      <t>オ</t>
    </rPh>
    <rPh sb="26" eb="27">
      <t>ミ</t>
    </rPh>
    <phoneticPr fontId="13"/>
  </si>
  <si>
    <t>L</t>
    <phoneticPr fontId="13"/>
  </si>
  <si>
    <t>H4</t>
    <phoneticPr fontId="13"/>
  </si>
  <si>
    <t>15.8.31 12:00H+sp</t>
    <phoneticPr fontId="13"/>
  </si>
  <si>
    <t>15.8.31 16:21</t>
    <phoneticPr fontId="13"/>
  </si>
  <si>
    <t>EB
T:-61.8-&gt;1.38831</t>
    <phoneticPr fontId="13"/>
  </si>
  <si>
    <t>15m</t>
    <phoneticPr fontId="13"/>
  </si>
  <si>
    <t>15.8.31 18:17</t>
    <phoneticPr fontId="13"/>
  </si>
  <si>
    <t>15.8.31 16:15</t>
    <phoneticPr fontId="13"/>
  </si>
  <si>
    <t>entry後の急激な戻しでLC。DayでみるとDivergence中。</t>
    <rPh sb="5" eb="6">
      <t>ゴ</t>
    </rPh>
    <rPh sb="7" eb="9">
      <t>キュウゲキ</t>
    </rPh>
    <rPh sb="10" eb="11">
      <t>モド</t>
    </rPh>
    <rPh sb="33" eb="34">
      <t>チュウ</t>
    </rPh>
    <phoneticPr fontId="13"/>
  </si>
  <si>
    <t>S</t>
    <phoneticPr fontId="13"/>
  </si>
  <si>
    <t>Supp割れ狙い。Dで3日間Supp手前で横ばい。割れたらチョットは走るとの想定。
T：50.0-&gt;133.562</t>
    <rPh sb="4" eb="5">
      <t>ワ</t>
    </rPh>
    <rPh sb="6" eb="7">
      <t>ネラ</t>
    </rPh>
    <rPh sb="12" eb="13">
      <t>ヒ</t>
    </rPh>
    <rPh sb="13" eb="14">
      <t>カン</t>
    </rPh>
    <rPh sb="18" eb="20">
      <t>テマエ</t>
    </rPh>
    <rPh sb="21" eb="22">
      <t>ヨコ</t>
    </rPh>
    <rPh sb="25" eb="26">
      <t>ワ</t>
    </rPh>
    <rPh sb="34" eb="35">
      <t>ハシ</t>
    </rPh>
    <rPh sb="38" eb="40">
      <t>ソウテイ</t>
    </rPh>
    <phoneticPr fontId="13"/>
  </si>
  <si>
    <t>D</t>
    <phoneticPr fontId="13"/>
  </si>
  <si>
    <t>15.9.1 11:22</t>
    <phoneticPr fontId="13"/>
  </si>
  <si>
    <t>15.8.27L-sp</t>
    <phoneticPr fontId="13"/>
  </si>
  <si>
    <t>15m</t>
    <phoneticPr fontId="13"/>
  </si>
  <si>
    <t>15.9.1 13:17</t>
    <phoneticPr fontId="13"/>
  </si>
  <si>
    <t>entry付近</t>
    <rPh sb="5" eb="7">
      <t>フキン</t>
    </rPh>
    <phoneticPr fontId="13"/>
  </si>
  <si>
    <t>S</t>
    <phoneticPr fontId="13"/>
  </si>
  <si>
    <t>S</t>
    <phoneticPr fontId="13"/>
  </si>
  <si>
    <t>EURJPY</t>
    <phoneticPr fontId="13"/>
  </si>
  <si>
    <t>EURCHF</t>
    <phoneticPr fontId="13"/>
  </si>
  <si>
    <r>
      <t>P</t>
    </r>
    <r>
      <rPr>
        <sz val="11"/>
        <color indexed="8"/>
        <rFont val="ＭＳ Ｐゴシック"/>
        <family val="3"/>
        <charset val="128"/>
      </rPr>
      <t>B 61.8付近からdown。DTっぽい
T：38.2-&gt;0.95034</t>
    </r>
    <rPh sb="7" eb="9">
      <t>フキン</t>
    </rPh>
    <phoneticPr fontId="13"/>
  </si>
  <si>
    <t>15.9.1 23:03</t>
    <phoneticPr fontId="13"/>
  </si>
  <si>
    <t>15.9.1 16:00L-sp</t>
    <phoneticPr fontId="13"/>
  </si>
  <si>
    <r>
      <t>E</t>
    </r>
    <r>
      <rPr>
        <sz val="11"/>
        <color indexed="8"/>
        <rFont val="ＭＳ Ｐゴシック"/>
        <family val="3"/>
        <charset val="128"/>
      </rPr>
      <t>B Range上辺に当たってdown。そのままRange下辺割れ想定
T：38.2-&gt;1.07004</t>
    </r>
    <rPh sb="8" eb="10">
      <t>ジョウヘン</t>
    </rPh>
    <rPh sb="11" eb="12">
      <t>ア</t>
    </rPh>
    <rPh sb="29" eb="31">
      <t>カヘン</t>
    </rPh>
    <rPh sb="31" eb="32">
      <t>ワ</t>
    </rPh>
    <rPh sb="33" eb="35">
      <t>ソウテイ</t>
    </rPh>
    <phoneticPr fontId="13"/>
  </si>
  <si>
    <t>15.9.2 0:00L-sp</t>
    <phoneticPr fontId="13"/>
  </si>
  <si>
    <t>値動き確認の為にRR比悪いがentry。手数料負け。
Down継続するか監視継続。</t>
    <rPh sb="0" eb="2">
      <t>ネウゴ</t>
    </rPh>
    <rPh sb="3" eb="5">
      <t>カクニン</t>
    </rPh>
    <rPh sb="6" eb="7">
      <t>タメ</t>
    </rPh>
    <rPh sb="10" eb="11">
      <t>ヒ</t>
    </rPh>
    <rPh sb="11" eb="12">
      <t>ワル</t>
    </rPh>
    <rPh sb="20" eb="23">
      <t>テスウリョウ</t>
    </rPh>
    <rPh sb="23" eb="24">
      <t>マ</t>
    </rPh>
    <rPh sb="31" eb="33">
      <t>ケイゾク</t>
    </rPh>
    <rPh sb="36" eb="38">
      <t>カンシ</t>
    </rPh>
    <rPh sb="38" eb="40">
      <t>ケイゾク</t>
    </rPh>
    <phoneticPr fontId="13"/>
  </si>
  <si>
    <t>15.9.2 4:00L</t>
    <phoneticPr fontId="13"/>
  </si>
  <si>
    <t>15.9.2 8:00H</t>
    <phoneticPr fontId="13"/>
  </si>
  <si>
    <t>EURUSD</t>
    <phoneticPr fontId="13"/>
  </si>
  <si>
    <t>TrendLine割れ。Triangle break
T：0.0-&gt;1.11533</t>
    <rPh sb="9" eb="10">
      <t>ワ</t>
    </rPh>
    <phoneticPr fontId="13"/>
  </si>
  <si>
    <t>15.9.2 10:09</t>
    <phoneticPr fontId="13"/>
  </si>
  <si>
    <t>H4</t>
    <phoneticPr fontId="13"/>
  </si>
  <si>
    <t>15.9.2 10:33</t>
    <phoneticPr fontId="13"/>
  </si>
  <si>
    <t>一度もLCをTrailすることなくLoss。H4で見ると上髭でexiｔ、又、このcandleがPBになりそう。</t>
    <rPh sb="0" eb="2">
      <t>イチド</t>
    </rPh>
    <rPh sb="25" eb="26">
      <t>ミ</t>
    </rPh>
    <rPh sb="28" eb="30">
      <t>ウワヒゲ</t>
    </rPh>
    <rPh sb="36" eb="37">
      <t>マタ</t>
    </rPh>
    <phoneticPr fontId="13"/>
  </si>
  <si>
    <t>15.9.2 11:23</t>
    <phoneticPr fontId="13"/>
  </si>
  <si>
    <t>H1</t>
    <phoneticPr fontId="13"/>
  </si>
  <si>
    <t>一度もLCをTrailすることなくLoss。H4で見ると上髭でexiｔ。値動きが分かりやすくなるまでstayをしたほうがいい地合い。今夜、ADPの雇用データ、金曜日深夜に雇用統計発表。</t>
    <rPh sb="0" eb="2">
      <t>イチド</t>
    </rPh>
    <rPh sb="25" eb="26">
      <t>ミ</t>
    </rPh>
    <rPh sb="28" eb="30">
      <t>ウワヒゲ</t>
    </rPh>
    <rPh sb="36" eb="38">
      <t>ネウゴ</t>
    </rPh>
    <rPh sb="40" eb="41">
      <t>ワ</t>
    </rPh>
    <rPh sb="62" eb="64">
      <t>ジア</t>
    </rPh>
    <rPh sb="66" eb="68">
      <t>コンヤ</t>
    </rPh>
    <rPh sb="73" eb="75">
      <t>コヨウ</t>
    </rPh>
    <rPh sb="79" eb="82">
      <t>キンヨウビ</t>
    </rPh>
    <rPh sb="82" eb="84">
      <t>シンヤ</t>
    </rPh>
    <rPh sb="85" eb="87">
      <t>コヨウ</t>
    </rPh>
    <rPh sb="87" eb="89">
      <t>トウケイ</t>
    </rPh>
    <rPh sb="89" eb="91">
      <t>ハッピョウ</t>
    </rPh>
    <phoneticPr fontId="13"/>
  </si>
  <si>
    <t>Cancel
entry前にpriceがLCを越えてしまった。</t>
    <rPh sb="12" eb="13">
      <t>マエ</t>
    </rPh>
    <rPh sb="23" eb="24">
      <t>コ</t>
    </rPh>
    <phoneticPr fontId="13"/>
  </si>
  <si>
    <t>Cancel</t>
    <phoneticPr fontId="13"/>
  </si>
  <si>
    <t>値動きが分かりやすくなるまでSTAY!!</t>
    <rPh sb="0" eb="2">
      <t>ネウゴ</t>
    </rPh>
    <rPh sb="4" eb="5">
      <t>ワ</t>
    </rPh>
    <phoneticPr fontId="13"/>
  </si>
  <si>
    <t>H4</t>
    <phoneticPr fontId="13"/>
  </si>
  <si>
    <t>S</t>
    <phoneticPr fontId="13"/>
  </si>
  <si>
    <t>15.8.31 20:00L-1pip</t>
    <phoneticPr fontId="13"/>
  </si>
  <si>
    <t>15.9.2 16:00H</t>
    <phoneticPr fontId="13"/>
  </si>
  <si>
    <t>FIB 天井からのdown狙い。
T：FIB（短）-61.8-&gt;1.29692
　FIB（長）　38.2-&gt;1.28840</t>
    <rPh sb="4" eb="6">
      <t>テンジョウ</t>
    </rPh>
    <rPh sb="13" eb="14">
      <t>ネラ</t>
    </rPh>
    <rPh sb="23" eb="24">
      <t>タン</t>
    </rPh>
    <rPh sb="45" eb="46">
      <t>チョウ</t>
    </rPh>
    <phoneticPr fontId="13"/>
  </si>
  <si>
    <t>Cancel
方向性が逆だと思うから</t>
    <rPh sb="7" eb="10">
      <t>ホウコウセイ</t>
    </rPh>
    <rPh sb="11" eb="12">
      <t>ギャク</t>
    </rPh>
    <rPh sb="14" eb="15">
      <t>オモ</t>
    </rPh>
    <phoneticPr fontId="13"/>
  </si>
  <si>
    <t>L</t>
    <phoneticPr fontId="13"/>
  </si>
  <si>
    <t>15.8.25H+sp</t>
    <phoneticPr fontId="13"/>
  </si>
  <si>
    <t>15.8.31L</t>
    <phoneticPr fontId="13"/>
  </si>
  <si>
    <t>H越え狙い
T：Res-&gt;1.40090
　-61.8（FIB短）-&gt;1.42383</t>
    <rPh sb="1" eb="2">
      <t>コ</t>
    </rPh>
    <rPh sb="3" eb="4">
      <t>ネラ</t>
    </rPh>
    <rPh sb="31" eb="32">
      <t>タン</t>
    </rPh>
    <phoneticPr fontId="13"/>
  </si>
  <si>
    <t>S</t>
    <phoneticPr fontId="13"/>
  </si>
  <si>
    <t>H4</t>
    <phoneticPr fontId="13"/>
  </si>
  <si>
    <t>15.9.3 16:00L-sp</t>
    <phoneticPr fontId="13"/>
  </si>
  <si>
    <t>15.9.4 12:00H</t>
    <phoneticPr fontId="13"/>
  </si>
  <si>
    <t>L割れ狙い
T：Supp-&gt;1.08077
　FIB長　0.0-&gt;1.04612</t>
    <rPh sb="1" eb="2">
      <t>ワ</t>
    </rPh>
    <rPh sb="3" eb="4">
      <t>ネラ</t>
    </rPh>
    <rPh sb="26" eb="27">
      <t>チョウ</t>
    </rPh>
    <phoneticPr fontId="13"/>
  </si>
  <si>
    <t>L</t>
    <phoneticPr fontId="13"/>
  </si>
  <si>
    <t>H越え狙い
T：FIB（短）100.0-&gt;0.99023</t>
    <rPh sb="1" eb="2">
      <t>コ</t>
    </rPh>
    <rPh sb="3" eb="4">
      <t>ネラ</t>
    </rPh>
    <rPh sb="12" eb="13">
      <t>タン</t>
    </rPh>
    <phoneticPr fontId="13"/>
  </si>
  <si>
    <t>15.9.4 16:00+sp</t>
    <phoneticPr fontId="13"/>
  </si>
  <si>
    <t>15.9.7 4:00L</t>
    <phoneticPr fontId="13"/>
  </si>
  <si>
    <t>LCを越えて上昇したのでcancel</t>
    <rPh sb="3" eb="4">
      <t>コ</t>
    </rPh>
    <rPh sb="6" eb="8">
      <t>ジョウショウ</t>
    </rPh>
    <phoneticPr fontId="13"/>
  </si>
  <si>
    <t>15.9.8 12:22</t>
    <phoneticPr fontId="13"/>
  </si>
  <si>
    <t>H1</t>
    <phoneticPr fontId="13"/>
  </si>
  <si>
    <t>15.9.9 1:50</t>
    <phoneticPr fontId="13"/>
  </si>
  <si>
    <t>思惑通りｕｐしたがdown開始し、そのまま落ちそうだったので一旦決済。継続監視で押し目があれば再度entry検討。</t>
    <rPh sb="0" eb="2">
      <t>オモワク</t>
    </rPh>
    <rPh sb="2" eb="3">
      <t>ドオ</t>
    </rPh>
    <rPh sb="13" eb="15">
      <t>カイシ</t>
    </rPh>
    <rPh sb="21" eb="22">
      <t>オ</t>
    </rPh>
    <rPh sb="30" eb="32">
      <t>イッタン</t>
    </rPh>
    <rPh sb="32" eb="34">
      <t>ケッサイ</t>
    </rPh>
    <rPh sb="35" eb="37">
      <t>ケイゾク</t>
    </rPh>
    <rPh sb="37" eb="39">
      <t>カンシ</t>
    </rPh>
    <rPh sb="40" eb="41">
      <t>オ</t>
    </rPh>
    <rPh sb="42" eb="43">
      <t>メ</t>
    </rPh>
    <rPh sb="47" eb="49">
      <t>サイド</t>
    </rPh>
    <rPh sb="54" eb="56">
      <t>ケントウ</t>
    </rPh>
    <phoneticPr fontId="13"/>
  </si>
  <si>
    <t>L</t>
    <phoneticPr fontId="13"/>
  </si>
  <si>
    <t>15.9.10 0:00H+sp</t>
    <phoneticPr fontId="13"/>
  </si>
  <si>
    <t>PB FIB（短）越えでadj。次のcandleでEBになりそう。
T：FIB（短）50.0-&gt;135.596
　　　　　　　61.8-&gt;136.393</t>
    <rPh sb="7" eb="8">
      <t>タン</t>
    </rPh>
    <rPh sb="9" eb="10">
      <t>コ</t>
    </rPh>
    <rPh sb="16" eb="17">
      <t>ツギ</t>
    </rPh>
    <rPh sb="40" eb="41">
      <t>タン</t>
    </rPh>
    <phoneticPr fontId="13"/>
  </si>
  <si>
    <t>15.9.10 7:53</t>
    <phoneticPr fontId="13"/>
  </si>
  <si>
    <t>15.9.10 14:27</t>
    <phoneticPr fontId="13"/>
  </si>
  <si>
    <t>H1</t>
    <phoneticPr fontId="13"/>
  </si>
  <si>
    <t>EURUSD</t>
    <phoneticPr fontId="13"/>
  </si>
  <si>
    <t>L</t>
    <phoneticPr fontId="13"/>
  </si>
  <si>
    <t>EB Triangle break前
T：FIB（短）38.2-&gt;1.13251</t>
    <rPh sb="17" eb="18">
      <t>マエ</t>
    </rPh>
    <rPh sb="25" eb="26">
      <t>タン</t>
    </rPh>
    <phoneticPr fontId="13"/>
  </si>
  <si>
    <t>L</t>
    <phoneticPr fontId="13"/>
  </si>
  <si>
    <t>H1</t>
    <phoneticPr fontId="13"/>
  </si>
  <si>
    <t>15.9.10 23:00H+sp</t>
    <phoneticPr fontId="13"/>
  </si>
  <si>
    <t>15.9.10 22:00L</t>
    <phoneticPr fontId="13"/>
  </si>
  <si>
    <t>USDJPY</t>
    <phoneticPr fontId="13"/>
  </si>
  <si>
    <t>adj後のrebound　FIB（短）50.0付近までadj後のrebound想定。現candle+前2本のcandleでPB形成するかも。
T：FIB（短）61.8-&gt;121.742
　FIB（短）78.6-&gt;123.293</t>
    <rPh sb="3" eb="4">
      <t>ゴ</t>
    </rPh>
    <rPh sb="17" eb="18">
      <t>タン</t>
    </rPh>
    <rPh sb="23" eb="25">
      <t>フキン</t>
    </rPh>
    <rPh sb="30" eb="31">
      <t>ゴ</t>
    </rPh>
    <rPh sb="39" eb="41">
      <t>ソウテイ</t>
    </rPh>
    <rPh sb="42" eb="43">
      <t>ゲン</t>
    </rPh>
    <rPh sb="50" eb="51">
      <t>マエ</t>
    </rPh>
    <rPh sb="52" eb="53">
      <t>ホン</t>
    </rPh>
    <rPh sb="63" eb="65">
      <t>ケイセイ</t>
    </rPh>
    <rPh sb="77" eb="78">
      <t>タン</t>
    </rPh>
    <phoneticPr fontId="13"/>
  </si>
  <si>
    <t>15.9.10 17:00</t>
    <phoneticPr fontId="13"/>
  </si>
  <si>
    <t>15.9.11 0:57</t>
    <phoneticPr fontId="13"/>
  </si>
  <si>
    <t>成行き</t>
    <rPh sb="0" eb="2">
      <t>ナリユ</t>
    </rPh>
    <phoneticPr fontId="13"/>
  </si>
  <si>
    <t>15.9.11 6:29</t>
    <phoneticPr fontId="13"/>
  </si>
  <si>
    <t>entry後上髭連発、素直にいかないので一旦小幅+でexit。</t>
    <rPh sb="5" eb="6">
      <t>ゴ</t>
    </rPh>
    <rPh sb="6" eb="8">
      <t>ウワヒゲ</t>
    </rPh>
    <rPh sb="8" eb="10">
      <t>レンパツ</t>
    </rPh>
    <rPh sb="11" eb="13">
      <t>スナオ</t>
    </rPh>
    <rPh sb="20" eb="22">
      <t>イッタン</t>
    </rPh>
    <rPh sb="22" eb="24">
      <t>コハバ</t>
    </rPh>
    <phoneticPr fontId="13"/>
  </si>
  <si>
    <t>15.9.11 7:00L</t>
    <phoneticPr fontId="13"/>
  </si>
  <si>
    <t>15.9.11 9:33</t>
    <phoneticPr fontId="13"/>
  </si>
  <si>
    <t>注文期限切れ</t>
    <rPh sb="0" eb="2">
      <t>チュウモン</t>
    </rPh>
    <rPh sb="2" eb="4">
      <t>キゲン</t>
    </rPh>
    <rPh sb="4" eb="5">
      <t>キ</t>
    </rPh>
    <phoneticPr fontId="13"/>
  </si>
  <si>
    <t>15.9.10 12:00H+sp</t>
    <phoneticPr fontId="13"/>
  </si>
  <si>
    <t>USDCHF</t>
    <phoneticPr fontId="13"/>
  </si>
  <si>
    <t>L</t>
    <phoneticPr fontId="13"/>
  </si>
  <si>
    <t>EB DownChannelの下辺で発生
T：78.6-&gt;0.97642
　　100.0-&gt;0.99023</t>
    <rPh sb="15" eb="17">
      <t>カヘン</t>
    </rPh>
    <rPh sb="18" eb="20">
      <t>ハッセイ</t>
    </rPh>
    <phoneticPr fontId="13"/>
  </si>
  <si>
    <t>15.9.14 14:51</t>
    <phoneticPr fontId="13"/>
  </si>
  <si>
    <t>15.9.14 8:00H+sp</t>
    <phoneticPr fontId="13"/>
  </si>
  <si>
    <t>S</t>
    <phoneticPr fontId="13"/>
  </si>
  <si>
    <t>EURJPY</t>
    <phoneticPr fontId="13"/>
  </si>
  <si>
    <t>15.9.15 22:00L-sp</t>
    <phoneticPr fontId="13"/>
  </si>
  <si>
    <r>
      <t>EB 0.0を割り23.6付近までadj後、PB&amp;EB
T：</t>
    </r>
    <r>
      <rPr>
        <sz val="11"/>
        <color indexed="8"/>
        <rFont val="ＭＳ Ｐゴシック"/>
        <family val="3"/>
        <charset val="128"/>
      </rPr>
      <t>-61.8-&gt;</t>
    </r>
    <r>
      <rPr>
        <sz val="11"/>
        <color indexed="8"/>
        <rFont val="ＭＳ Ｐゴシック"/>
        <family val="3"/>
        <charset val="128"/>
      </rPr>
      <t>134.534</t>
    </r>
    <rPh sb="7" eb="8">
      <t>ワ</t>
    </rPh>
    <rPh sb="13" eb="15">
      <t>フキン</t>
    </rPh>
    <rPh sb="20" eb="21">
      <t>ゴ</t>
    </rPh>
    <phoneticPr fontId="13"/>
  </si>
  <si>
    <t>15.9.16 3:36</t>
    <phoneticPr fontId="13"/>
  </si>
  <si>
    <t>15.9.16 4:00</t>
    <phoneticPr fontId="13"/>
  </si>
  <si>
    <t>S</t>
    <phoneticPr fontId="13"/>
  </si>
  <si>
    <t>EB 38.2割れ後の戻り
T：50.0-&gt;134.625</t>
    <rPh sb="7" eb="8">
      <t>ワ</t>
    </rPh>
    <rPh sb="9" eb="10">
      <t>ゴ</t>
    </rPh>
    <rPh sb="11" eb="12">
      <t>モド</t>
    </rPh>
    <phoneticPr fontId="13"/>
  </si>
  <si>
    <t>15.9.16 8:00L-sp</t>
    <phoneticPr fontId="13"/>
  </si>
  <si>
    <t>15.9.16 10:09</t>
    <phoneticPr fontId="13"/>
  </si>
  <si>
    <t>entryと同じ足
LC設定を1本前のPBのHにしておけばLCにはならなかったが？！</t>
    <rPh sb="6" eb="7">
      <t>オナ</t>
    </rPh>
    <rPh sb="8" eb="9">
      <t>アシ</t>
    </rPh>
    <rPh sb="12" eb="14">
      <t>セッテイ</t>
    </rPh>
    <rPh sb="16" eb="17">
      <t>ホン</t>
    </rPh>
    <rPh sb="17" eb="18">
      <t>マエ</t>
    </rPh>
    <phoneticPr fontId="13"/>
  </si>
  <si>
    <t>15.9.16 15:35</t>
    <phoneticPr fontId="13"/>
  </si>
  <si>
    <t>H4</t>
    <phoneticPr fontId="13"/>
  </si>
  <si>
    <t>15.9.16 16:15</t>
    <phoneticPr fontId="13"/>
  </si>
  <si>
    <t>EURJPY</t>
    <phoneticPr fontId="13"/>
  </si>
  <si>
    <t>entry+2
急激な戻し。9/16-17のFOMCの影響？？</t>
    <rPh sb="8" eb="10">
      <t>キュウゲキ</t>
    </rPh>
    <rPh sb="11" eb="12">
      <t>モド</t>
    </rPh>
    <rPh sb="27" eb="29">
      <t>エイキョウ</t>
    </rPh>
    <phoneticPr fontId="13"/>
  </si>
  <si>
    <t>15.9.16 10:00H
急激な戻し。9/16-17のFOMCの影響？？</t>
    <phoneticPr fontId="13"/>
  </si>
  <si>
    <t>L</t>
    <phoneticPr fontId="13"/>
  </si>
  <si>
    <t>EB Triangle/Wedge broken
T：Res1.14571
　　Res1.16927
　　23.6-&gt;1.17774
　　　　　　（UpChannel上辺）</t>
    <rPh sb="83" eb="85">
      <t>ジョウヘン</t>
    </rPh>
    <phoneticPr fontId="13"/>
  </si>
  <si>
    <t>15.9.17 8:00H+sp</t>
    <phoneticPr fontId="13"/>
  </si>
  <si>
    <t>S</t>
    <phoneticPr fontId="13"/>
  </si>
  <si>
    <t>15.9.14 8:00L-sp</t>
    <phoneticPr fontId="13"/>
  </si>
  <si>
    <t>15.9.17 12:00H</t>
    <phoneticPr fontId="13"/>
  </si>
  <si>
    <t>15.9.17 20:53</t>
    <phoneticPr fontId="13"/>
  </si>
  <si>
    <t>15.9.17 20:59</t>
    <phoneticPr fontId="13"/>
  </si>
  <si>
    <t>PB Supp上で下髭がずっと出ている。且つ、Hを切り下げてきている。
Ｔ：50.0-&gt;0.95399</t>
    <rPh sb="7" eb="8">
      <t>ジョウ</t>
    </rPh>
    <rPh sb="9" eb="10">
      <t>シタ</t>
    </rPh>
    <rPh sb="10" eb="11">
      <t>ヒゲ</t>
    </rPh>
    <rPh sb="15" eb="16">
      <t>デ</t>
    </rPh>
    <rPh sb="20" eb="21">
      <t>カ</t>
    </rPh>
    <rPh sb="25" eb="26">
      <t>キ</t>
    </rPh>
    <rPh sb="27" eb="28">
      <t>サ</t>
    </rPh>
    <phoneticPr fontId="13"/>
  </si>
  <si>
    <t>15.9.18 17:23</t>
    <phoneticPr fontId="13"/>
  </si>
  <si>
    <t>15.9.18 17:36</t>
    <phoneticPr fontId="13"/>
  </si>
  <si>
    <t>15.9.19 8:47</t>
    <phoneticPr fontId="17"/>
  </si>
  <si>
    <t>TradeNumber:64・65</t>
    <phoneticPr fontId="17"/>
  </si>
  <si>
    <t>9/17/18のFOMCで利上げなしとの決定。急激にUSD下落した。利上げなしのscenarioでEURUSD・USDCHFを仕掛け利食いできた。</t>
    <rPh sb="13" eb="15">
      <t>リア</t>
    </rPh>
    <rPh sb="20" eb="22">
      <t>ケッテイ</t>
    </rPh>
    <rPh sb="23" eb="25">
      <t>キュウゲキ</t>
    </rPh>
    <rPh sb="29" eb="31">
      <t>ゲラク</t>
    </rPh>
    <rPh sb="34" eb="36">
      <t>リア</t>
    </rPh>
    <rPh sb="63" eb="65">
      <t>シカ</t>
    </rPh>
    <rPh sb="66" eb="68">
      <t>リグ</t>
    </rPh>
    <phoneticPr fontId="17"/>
  </si>
  <si>
    <t>8月末の予測できなかったChinaShockとは違い、ほぼ織り込み済みのeventで動いた場合は短期間で1度は逆回転の動きがある前提でTradeを組み立てるべき。</t>
    <rPh sb="1" eb="3">
      <t>ガツマツ</t>
    </rPh>
    <rPh sb="4" eb="6">
      <t>ヨソク</t>
    </rPh>
    <rPh sb="24" eb="25">
      <t>チガ</t>
    </rPh>
    <rPh sb="29" eb="30">
      <t>オ</t>
    </rPh>
    <rPh sb="31" eb="32">
      <t>コ</t>
    </rPh>
    <rPh sb="33" eb="34">
      <t>ス</t>
    </rPh>
    <rPh sb="42" eb="43">
      <t>ウゴ</t>
    </rPh>
    <rPh sb="45" eb="47">
      <t>バアイ</t>
    </rPh>
    <rPh sb="48" eb="51">
      <t>タンキカン</t>
    </rPh>
    <rPh sb="53" eb="54">
      <t>ド</t>
    </rPh>
    <rPh sb="55" eb="56">
      <t>ギャク</t>
    </rPh>
    <rPh sb="56" eb="58">
      <t>カイテン</t>
    </rPh>
    <rPh sb="59" eb="60">
      <t>ウゴ</t>
    </rPh>
    <rPh sb="64" eb="66">
      <t>ゼンテイ</t>
    </rPh>
    <rPh sb="73" eb="74">
      <t>ク</t>
    </rPh>
    <rPh sb="75" eb="76">
      <t>タ</t>
    </rPh>
    <phoneticPr fontId="17"/>
  </si>
  <si>
    <t>この2つのTradeも当初のTargetに届いてから、急速に戻った。Trailingの為の目立った節目もなかったので、やはりTargetで一度は手仕舞いすべきだった。</t>
    <rPh sb="11" eb="13">
      <t>トウショ</t>
    </rPh>
    <rPh sb="21" eb="22">
      <t>トド</t>
    </rPh>
    <rPh sb="27" eb="29">
      <t>キュウソク</t>
    </rPh>
    <rPh sb="30" eb="31">
      <t>モド</t>
    </rPh>
    <rPh sb="43" eb="44">
      <t>タメ</t>
    </rPh>
    <rPh sb="45" eb="47">
      <t>メダ</t>
    </rPh>
    <rPh sb="49" eb="51">
      <t>フシメ</t>
    </rPh>
    <rPh sb="69" eb="71">
      <t>イチド</t>
    </rPh>
    <rPh sb="72" eb="75">
      <t>テジマ</t>
    </rPh>
    <phoneticPr fontId="17"/>
  </si>
  <si>
    <t>それぞれ60pips程度の利益を逃した。</t>
    <rPh sb="10" eb="12">
      <t>テイド</t>
    </rPh>
    <rPh sb="13" eb="15">
      <t>リエキ</t>
    </rPh>
    <rPh sb="16" eb="17">
      <t>ノガ</t>
    </rPh>
    <phoneticPr fontId="17"/>
  </si>
  <si>
    <t>1度、手仕舞い後、方向性を確認してchanceがあれば再度entryを考えられる心の余裕が必要。</t>
    <rPh sb="1" eb="2">
      <t>ド</t>
    </rPh>
    <rPh sb="3" eb="6">
      <t>テジマ</t>
    </rPh>
    <rPh sb="7" eb="8">
      <t>ゴ</t>
    </rPh>
    <rPh sb="9" eb="12">
      <t>ホウコウセイ</t>
    </rPh>
    <rPh sb="13" eb="15">
      <t>カクニン</t>
    </rPh>
    <rPh sb="27" eb="29">
      <t>サイド</t>
    </rPh>
    <rPh sb="35" eb="36">
      <t>カンガ</t>
    </rPh>
    <rPh sb="40" eb="41">
      <t>ココロ</t>
    </rPh>
    <rPh sb="42" eb="44">
      <t>ヨユウ</t>
    </rPh>
    <rPh sb="45" eb="47">
      <t>ヒツヨウ</t>
    </rPh>
    <phoneticPr fontId="17"/>
  </si>
  <si>
    <t>S</t>
    <phoneticPr fontId="13"/>
  </si>
  <si>
    <t>H1</t>
    <phoneticPr fontId="13"/>
  </si>
  <si>
    <t>15.9.18 23:00L-sp</t>
    <phoneticPr fontId="13"/>
  </si>
  <si>
    <t>EB&amp;PB
T：FIB(短)　-61.8-&gt;154.506
   Supp-&gt;184.892</t>
    <rPh sb="12" eb="13">
      <t>タン</t>
    </rPh>
    <phoneticPr fontId="13"/>
  </si>
  <si>
    <t>15.9.21 3:00</t>
    <phoneticPr fontId="13"/>
  </si>
  <si>
    <t>15.9.21 9:32</t>
    <phoneticPr fontId="13"/>
  </si>
  <si>
    <t>GBPJPY</t>
    <phoneticPr fontId="13"/>
  </si>
  <si>
    <t>S</t>
    <phoneticPr fontId="13"/>
  </si>
  <si>
    <t>15.9.21 20:00L</t>
    <phoneticPr fontId="13"/>
  </si>
  <si>
    <t>15.9.21 19:00H</t>
    <phoneticPr fontId="13"/>
  </si>
  <si>
    <t>RangeBreak Channelを下方にbreak後、downして小幅持合い＆H切り下げ
  EURUSDも同傾向
T：Supp-&gt;133.682
　下方向で目立つSuppは
　これだけ？！</t>
    <rPh sb="19" eb="21">
      <t>カホウ</t>
    </rPh>
    <rPh sb="27" eb="28">
      <t>ゴ</t>
    </rPh>
    <rPh sb="35" eb="37">
      <t>コハバ</t>
    </rPh>
    <rPh sb="37" eb="39">
      <t>モチア</t>
    </rPh>
    <rPh sb="42" eb="43">
      <t>キ</t>
    </rPh>
    <rPh sb="44" eb="45">
      <t>サ</t>
    </rPh>
    <rPh sb="56" eb="57">
      <t>ドウ</t>
    </rPh>
    <rPh sb="57" eb="59">
      <t>ケイコウ</t>
    </rPh>
    <rPh sb="77" eb="80">
      <t>シタホウコウ</t>
    </rPh>
    <rPh sb="81" eb="83">
      <t>メダ</t>
    </rPh>
    <phoneticPr fontId="13"/>
  </si>
  <si>
    <t>15.9.22 3:29</t>
    <phoneticPr fontId="13"/>
  </si>
  <si>
    <t>15.9.22 16:04</t>
    <phoneticPr fontId="17"/>
  </si>
  <si>
    <t>月曜日のanomally</t>
    <rPh sb="0" eb="3">
      <t>ゲツヨウビ</t>
    </rPh>
    <phoneticPr fontId="17"/>
  </si>
  <si>
    <t>S</t>
    <phoneticPr fontId="13"/>
  </si>
  <si>
    <t>15.9.22 8:00L-sp</t>
    <phoneticPr fontId="13"/>
  </si>
  <si>
    <t>15.9.22 11:07</t>
    <phoneticPr fontId="13"/>
  </si>
  <si>
    <t>EB&amp;PB 小さいH&amp;SのNeckLine割れ想定
結局NeckLine割れentryになった
T：Supp-&gt;84.460</t>
    <rPh sb="6" eb="7">
      <t>チイ</t>
    </rPh>
    <rPh sb="21" eb="22">
      <t>ワ</t>
    </rPh>
    <rPh sb="23" eb="25">
      <t>ソウテイ</t>
    </rPh>
    <rPh sb="26" eb="28">
      <t>ケッキョク</t>
    </rPh>
    <rPh sb="36" eb="37">
      <t>ワ</t>
    </rPh>
    <phoneticPr fontId="13"/>
  </si>
  <si>
    <t>15.9.22 15:49</t>
    <phoneticPr fontId="13"/>
  </si>
  <si>
    <t>Target</t>
    <phoneticPr fontId="13"/>
  </si>
  <si>
    <t>15.9.23 3:12</t>
    <phoneticPr fontId="13"/>
  </si>
  <si>
    <t>DownTrendからUpTrendに変わりそうだったので、手動決済。今後の動き監視継続。</t>
    <rPh sb="19" eb="20">
      <t>カ</t>
    </rPh>
    <rPh sb="30" eb="32">
      <t>シュドウ</t>
    </rPh>
    <rPh sb="32" eb="34">
      <t>ケッサイ</t>
    </rPh>
    <rPh sb="35" eb="37">
      <t>コンゴ</t>
    </rPh>
    <rPh sb="38" eb="39">
      <t>ウゴ</t>
    </rPh>
    <rPh sb="40" eb="42">
      <t>カンシ</t>
    </rPh>
    <rPh sb="42" eb="44">
      <t>ケイゾク</t>
    </rPh>
    <phoneticPr fontId="13"/>
  </si>
  <si>
    <r>
      <t>日本時間月曜日の昼間は動きが小さい。夜、Europe時間以降に動きやすい？！</t>
    </r>
    <r>
      <rPr>
        <sz val="11"/>
        <color indexed="8"/>
        <rFont val="ＭＳ Ｐゴシック"/>
        <family val="3"/>
        <charset val="128"/>
      </rPr>
      <t xml:space="preserve"> By笹田（今日のFibTrade)</t>
    </r>
    <rPh sb="0" eb="2">
      <t>ニホン</t>
    </rPh>
    <rPh sb="2" eb="4">
      <t>ジカン</t>
    </rPh>
    <rPh sb="4" eb="7">
      <t>ゲツヨウビ</t>
    </rPh>
    <rPh sb="8" eb="10">
      <t>ヒルマ</t>
    </rPh>
    <rPh sb="11" eb="12">
      <t>ウゴ</t>
    </rPh>
    <rPh sb="14" eb="15">
      <t>チイ</t>
    </rPh>
    <rPh sb="18" eb="19">
      <t>ヨル</t>
    </rPh>
    <rPh sb="26" eb="28">
      <t>ジカン</t>
    </rPh>
    <rPh sb="28" eb="30">
      <t>イコウ</t>
    </rPh>
    <rPh sb="31" eb="32">
      <t>ウゴ</t>
    </rPh>
    <rPh sb="41" eb="43">
      <t>ササダ</t>
    </rPh>
    <rPh sb="44" eb="46">
      <t>キョウ</t>
    </rPh>
    <phoneticPr fontId="17"/>
  </si>
  <si>
    <r>
      <t>15.9.23</t>
    </r>
    <r>
      <rPr>
        <sz val="11"/>
        <color indexed="8"/>
        <rFont val="ＭＳ Ｐゴシック"/>
        <family val="3"/>
        <charset val="128"/>
      </rPr>
      <t xml:space="preserve"> 9:18</t>
    </r>
    <phoneticPr fontId="17"/>
  </si>
  <si>
    <t>9.21JPY crossが動きそうだったのでGBPJPYをshortしたがrangeの中のRandomWalkでLC（-37.1pips)。9.22　同様にEURJPY・AUDJPYの下方向breakを捉え、</t>
    <rPh sb="14" eb="15">
      <t>ウゴ</t>
    </rPh>
    <rPh sb="44" eb="45">
      <t>ナカ</t>
    </rPh>
    <rPh sb="76" eb="78">
      <t>ドウヨウ</t>
    </rPh>
    <rPh sb="93" eb="96">
      <t>シタホウコウ</t>
    </rPh>
    <rPh sb="102" eb="103">
      <t>トラ</t>
    </rPh>
    <phoneticPr fontId="17"/>
  </si>
  <si>
    <t>それぞれ106pips・53.7pipsのプラスになった。　笹田さんの月曜日のanomallyを知っていれば、GBPJPYのshortはもう少し慎重にできたかも。</t>
    <rPh sb="30" eb="32">
      <t>ササダ</t>
    </rPh>
    <rPh sb="35" eb="38">
      <t>ゲツヨウビ</t>
    </rPh>
    <rPh sb="48" eb="49">
      <t>シ</t>
    </rPh>
    <rPh sb="70" eb="71">
      <t>スコ</t>
    </rPh>
    <rPh sb="72" eb="74">
      <t>シンチョウ</t>
    </rPh>
    <phoneticPr fontId="17"/>
  </si>
</sst>
</file>

<file path=xl/styles.xml><?xml version="1.0" encoding="utf-8"?>
<styleSheet xmlns="http://schemas.openxmlformats.org/spreadsheetml/2006/main">
  <numFmts count="16">
    <numFmt numFmtId="5" formatCode="&quot;¥&quot;#,##0;&quot;¥&quot;\-#,##0"/>
    <numFmt numFmtId="6" formatCode="&quot;¥&quot;#,##0;[Red]&quot;¥&quot;\-#,##0"/>
    <numFmt numFmtId="24" formatCode="\$#,##0_);[Red]\(\$#,##0\)"/>
    <numFmt numFmtId="176" formatCode="_-* #,##0.00_-;\-* #,##0.00_-;_-* &quot;-&quot;??_-;_-@_-"/>
    <numFmt numFmtId="177" formatCode="0.00_ ;[Red]\-0.00\ "/>
    <numFmt numFmtId="178" formatCode="0.00_ "/>
    <numFmt numFmtId="179" formatCode="0.0_);[Red]\(0.0\)"/>
    <numFmt numFmtId="180" formatCode="m/d;@"/>
    <numFmt numFmtId="181" formatCode="&quot;¥&quot;#,##0_);[Red]\(&quot;¥&quot;#,##0\)"/>
    <numFmt numFmtId="182" formatCode="0_);[Red]\(0\)"/>
    <numFmt numFmtId="183" formatCode="#,##0_ ;[Red]\-#,##0\ "/>
    <numFmt numFmtId="184" formatCode="0.0%"/>
    <numFmt numFmtId="185" formatCode="yyyy/m/d;@"/>
    <numFmt numFmtId="186" formatCode="_-* #,##0_-;\-* #,##0_-;_-* &quot;-&quot;??_-;_-@_-"/>
    <numFmt numFmtId="187" formatCode="_ * #,##0_ ;_ * \-#,##0_ ;_ * &quot;-&quot;??_ ;_ @_ "/>
    <numFmt numFmtId="188" formatCode="0.00000_ "/>
  </numFmts>
  <fonts count="18">
    <font>
      <sz val="11"/>
      <color indexed="8"/>
      <name val="ＭＳ Ｐゴシック"/>
      <charset val="128"/>
    </font>
    <font>
      <sz val="1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2"/>
      <name val="MS PGothic"/>
      <family val="2"/>
    </font>
    <font>
      <sz val="9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0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5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/>
      <right style="thin">
        <color indexed="64"/>
      </right>
      <top style="thin">
        <color indexed="64"/>
      </top>
      <bottom style="double">
        <color indexed="60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0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ouble">
        <color indexed="6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176" fontId="1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</cellStyleXfs>
  <cellXfs count="193">
    <xf numFmtId="0" fontId="0" fillId="0" borderId="0" xfId="0">
      <alignment vertical="center"/>
    </xf>
    <xf numFmtId="0" fontId="0" fillId="0" borderId="1" xfId="0" applyNumberFormat="1" applyFont="1" applyFill="1" applyBorder="1" applyAlignment="1" applyProtection="1">
      <alignment vertical="center"/>
    </xf>
    <xf numFmtId="0" fontId="0" fillId="0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Alignment="1" applyProtection="1">
      <alignment vertical="center"/>
    </xf>
    <xf numFmtId="0" fontId="2" fillId="0" borderId="1" xfId="0" applyNumberFormat="1" applyFont="1" applyFill="1" applyBorder="1" applyAlignment="1" applyProtection="1">
      <alignment vertical="center"/>
    </xf>
    <xf numFmtId="0" fontId="0" fillId="0" borderId="4" xfId="0" applyNumberFormat="1" applyFont="1" applyFill="1" applyBorder="1" applyAlignment="1" applyProtection="1">
      <alignment vertical="center"/>
    </xf>
    <xf numFmtId="9" fontId="0" fillId="0" borderId="6" xfId="0" applyNumberFormat="1" applyFont="1" applyFill="1" applyBorder="1" applyAlignment="1" applyProtection="1">
      <alignment vertical="center"/>
    </xf>
    <xf numFmtId="0" fontId="0" fillId="0" borderId="7" xfId="0" applyNumberFormat="1" applyFont="1" applyFill="1" applyBorder="1" applyAlignment="1" applyProtection="1">
      <alignment vertical="center"/>
    </xf>
    <xf numFmtId="0" fontId="0" fillId="0" borderId="8" xfId="0" applyNumberFormat="1" applyFont="1" applyFill="1" applyBorder="1" applyAlignment="1" applyProtection="1">
      <alignment vertical="center"/>
    </xf>
    <xf numFmtId="177" fontId="0" fillId="0" borderId="0" xfId="0" applyNumberFormat="1" applyFont="1" applyFill="1" applyBorder="1" applyAlignment="1" applyProtection="1">
      <alignment vertical="center"/>
    </xf>
    <xf numFmtId="0" fontId="3" fillId="0" borderId="0" xfId="0" applyNumberFormat="1" applyFont="1" applyFill="1" applyBorder="1" applyAlignment="1" applyProtection="1">
      <alignment vertical="center"/>
    </xf>
    <xf numFmtId="177" fontId="3" fillId="0" borderId="0" xfId="0" applyNumberFormat="1" applyFont="1" applyFill="1" applyBorder="1" applyAlignment="1" applyProtection="1">
      <alignment vertical="center"/>
    </xf>
    <xf numFmtId="178" fontId="0" fillId="0" borderId="1" xfId="0" applyNumberFormat="1" applyFont="1" applyFill="1" applyBorder="1" applyAlignment="1" applyProtection="1">
      <alignment vertical="center"/>
    </xf>
    <xf numFmtId="0" fontId="0" fillId="0" borderId="9" xfId="0" applyNumberFormat="1" applyFont="1" applyFill="1" applyBorder="1" applyAlignment="1" applyProtection="1">
      <alignment horizontal="center" vertical="center"/>
    </xf>
    <xf numFmtId="0" fontId="0" fillId="0" borderId="5" xfId="0" applyNumberFormat="1" applyFont="1" applyFill="1" applyBorder="1" applyAlignment="1" applyProtection="1">
      <alignment horizontal="center" vertical="center"/>
    </xf>
    <xf numFmtId="0" fontId="0" fillId="0" borderId="10" xfId="0" applyNumberFormat="1" applyFont="1" applyFill="1" applyBorder="1" applyAlignment="1" applyProtection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 vertical="center"/>
    </xf>
    <xf numFmtId="0" fontId="0" fillId="0" borderId="11" xfId="0" applyNumberFormat="1" applyFont="1" applyFill="1" applyBorder="1" applyAlignment="1" applyProtection="1">
      <alignment horizontal="center" vertical="center"/>
    </xf>
    <xf numFmtId="0" fontId="0" fillId="0" borderId="6" xfId="0" applyNumberFormat="1" applyFont="1" applyFill="1" applyBorder="1" applyAlignment="1" applyProtection="1">
      <alignment horizontal="center" vertical="center"/>
    </xf>
    <xf numFmtId="0" fontId="0" fillId="0" borderId="12" xfId="0" applyNumberFormat="1" applyFont="1" applyFill="1" applyBorder="1" applyAlignment="1" applyProtection="1">
      <alignment horizontal="center" vertical="center"/>
    </xf>
    <xf numFmtId="0" fontId="0" fillId="0" borderId="13" xfId="0" applyNumberFormat="1" applyFont="1" applyFill="1" applyBorder="1" applyAlignment="1" applyProtection="1">
      <alignment horizontal="center" vertical="center"/>
    </xf>
    <xf numFmtId="0" fontId="0" fillId="0" borderId="14" xfId="0" applyNumberFormat="1" applyFont="1" applyFill="1" applyBorder="1" applyAlignment="1" applyProtection="1">
      <alignment horizontal="center" vertical="center"/>
    </xf>
    <xf numFmtId="0" fontId="0" fillId="0" borderId="15" xfId="0" applyNumberFormat="1" applyFont="1" applyFill="1" applyBorder="1" applyAlignment="1" applyProtection="1">
      <alignment horizontal="center" vertical="center"/>
    </xf>
    <xf numFmtId="0" fontId="0" fillId="0" borderId="16" xfId="0" applyNumberFormat="1" applyFont="1" applyFill="1" applyBorder="1" applyAlignment="1" applyProtection="1">
      <alignment horizontal="center" vertical="center"/>
    </xf>
    <xf numFmtId="0" fontId="0" fillId="0" borderId="17" xfId="0" applyNumberFormat="1" applyFont="1" applyFill="1" applyBorder="1" applyAlignment="1" applyProtection="1">
      <alignment horizontal="center" vertical="center"/>
    </xf>
    <xf numFmtId="0" fontId="0" fillId="0" borderId="18" xfId="0" applyNumberFormat="1" applyFont="1" applyFill="1" applyBorder="1" applyAlignment="1" applyProtection="1">
      <alignment horizontal="center" vertical="center"/>
    </xf>
    <xf numFmtId="0" fontId="4" fillId="2" borderId="20" xfId="0" applyNumberFormat="1" applyFont="1" applyFill="1" applyBorder="1" applyAlignment="1" applyProtection="1">
      <alignment horizontal="center" vertical="center"/>
    </xf>
    <xf numFmtId="0" fontId="4" fillId="2" borderId="21" xfId="0" applyNumberFormat="1" applyFont="1" applyFill="1" applyBorder="1" applyAlignment="1" applyProtection="1">
      <alignment horizontal="center" vertical="center"/>
    </xf>
    <xf numFmtId="0" fontId="4" fillId="2" borderId="22" xfId="0" applyNumberFormat="1" applyFont="1" applyFill="1" applyBorder="1" applyAlignment="1" applyProtection="1">
      <alignment horizontal="center" vertical="center"/>
    </xf>
    <xf numFmtId="0" fontId="0" fillId="0" borderId="10" xfId="0" applyNumberFormat="1" applyFont="1" applyFill="1" applyBorder="1" applyAlignment="1" applyProtection="1">
      <alignment vertical="center"/>
    </xf>
    <xf numFmtId="0" fontId="0" fillId="0" borderId="23" xfId="0" applyNumberFormat="1" applyFont="1" applyFill="1" applyBorder="1" applyAlignment="1" applyProtection="1">
      <alignment vertical="center"/>
    </xf>
    <xf numFmtId="0" fontId="0" fillId="0" borderId="24" xfId="0" applyNumberFormat="1" applyFont="1" applyFill="1" applyBorder="1" applyAlignment="1" applyProtection="1">
      <alignment horizontal="center" vertical="center"/>
    </xf>
    <xf numFmtId="0" fontId="0" fillId="0" borderId="25" xfId="0" applyNumberFormat="1" applyFont="1" applyFill="1" applyBorder="1" applyAlignment="1" applyProtection="1">
      <alignment horizontal="center" vertical="center"/>
    </xf>
    <xf numFmtId="0" fontId="0" fillId="0" borderId="26" xfId="0" applyNumberFormat="1" applyFont="1" applyFill="1" applyBorder="1" applyAlignment="1" applyProtection="1">
      <alignment horizontal="center" vertical="center"/>
    </xf>
    <xf numFmtId="0" fontId="0" fillId="0" borderId="13" xfId="0" applyNumberFormat="1" applyFont="1" applyFill="1" applyBorder="1" applyAlignment="1" applyProtection="1">
      <alignment vertical="center"/>
    </xf>
    <xf numFmtId="0" fontId="0" fillId="0" borderId="21" xfId="0" applyNumberFormat="1" applyFont="1" applyFill="1" applyBorder="1" applyAlignment="1" applyProtection="1">
      <alignment vertical="center"/>
    </xf>
    <xf numFmtId="0" fontId="0" fillId="3" borderId="27" xfId="0" applyNumberFormat="1" applyFont="1" applyFill="1" applyBorder="1" applyAlignment="1" applyProtection="1">
      <alignment vertical="center"/>
    </xf>
    <xf numFmtId="0" fontId="0" fillId="3" borderId="19" xfId="0" applyNumberFormat="1" applyFont="1" applyFill="1" applyBorder="1" applyAlignment="1" applyProtection="1">
      <alignment vertical="center"/>
    </xf>
    <xf numFmtId="0" fontId="0" fillId="0" borderId="28" xfId="0" applyNumberFormat="1" applyFont="1" applyFill="1" applyBorder="1" applyAlignment="1" applyProtection="1">
      <alignment vertical="center"/>
    </xf>
    <xf numFmtId="177" fontId="0" fillId="0" borderId="28" xfId="0" applyNumberFormat="1" applyFont="1" applyFill="1" applyBorder="1" applyAlignment="1" applyProtection="1">
      <alignment vertical="center"/>
    </xf>
    <xf numFmtId="0" fontId="5" fillId="0" borderId="0" xfId="0" applyNumberFormat="1" applyFont="1" applyFill="1" applyBorder="1" applyAlignment="1" applyProtection="1">
      <alignment vertical="center"/>
    </xf>
    <xf numFmtId="0" fontId="0" fillId="0" borderId="21" xfId="0" applyNumberFormat="1" applyFont="1" applyFill="1" applyBorder="1" applyAlignment="1" applyProtection="1">
      <alignment horizontal="center" vertical="center"/>
    </xf>
    <xf numFmtId="0" fontId="6" fillId="0" borderId="0" xfId="4" applyNumberFormat="1" applyFont="1" applyFill="1" applyBorder="1" applyAlignment="1" applyProtection="1">
      <alignment vertical="center"/>
    </xf>
    <xf numFmtId="0" fontId="6" fillId="4" borderId="29" xfId="4" applyNumberFormat="1" applyFont="1" applyFill="1" applyBorder="1" applyAlignment="1" applyProtection="1">
      <alignment vertical="center"/>
    </xf>
    <xf numFmtId="179" fontId="6" fillId="4" borderId="27" xfId="4" applyNumberFormat="1" applyFont="1" applyFill="1" applyBorder="1" applyAlignment="1" applyProtection="1">
      <alignment vertical="center"/>
    </xf>
    <xf numFmtId="9" fontId="6" fillId="0" borderId="30" xfId="4" applyNumberFormat="1" applyFont="1" applyFill="1" applyBorder="1" applyAlignment="1" applyProtection="1">
      <alignment horizontal="center" vertical="center"/>
    </xf>
    <xf numFmtId="5" fontId="6" fillId="0" borderId="22" xfId="4" applyNumberFormat="1" applyFont="1" applyFill="1" applyBorder="1" applyAlignment="1" applyProtection="1">
      <alignment horizontal="center" vertical="center"/>
    </xf>
    <xf numFmtId="5" fontId="6" fillId="0" borderId="0" xfId="4" applyNumberFormat="1" applyFont="1" applyFill="1" applyBorder="1" applyAlignment="1" applyProtection="1">
      <alignment horizontal="center" vertical="center"/>
    </xf>
    <xf numFmtId="6" fontId="6" fillId="4" borderId="27" xfId="4" applyNumberFormat="1" applyFont="1" applyFill="1" applyBorder="1" applyAlignment="1" applyProtection="1">
      <alignment vertical="center"/>
    </xf>
    <xf numFmtId="6" fontId="6" fillId="0" borderId="31" xfId="4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55" fontId="7" fillId="0" borderId="13" xfId="4" applyNumberFormat="1" applyFont="1" applyFill="1" applyBorder="1" applyAlignment="1" applyProtection="1">
      <alignment horizontal="center" vertical="center"/>
    </xf>
    <xf numFmtId="55" fontId="0" fillId="0" borderId="13" xfId="0" applyNumberFormat="1" applyFont="1" applyFill="1" applyBorder="1" applyAlignment="1" applyProtection="1">
      <alignment horizontal="center" vertical="center"/>
    </xf>
    <xf numFmtId="55" fontId="7" fillId="0" borderId="32" xfId="4" applyNumberFormat="1" applyFont="1" applyFill="1" applyBorder="1" applyAlignment="1" applyProtection="1">
      <alignment horizontal="center" vertical="center"/>
    </xf>
    <xf numFmtId="0" fontId="6" fillId="4" borderId="33" xfId="4" applyNumberFormat="1" applyFont="1" applyFill="1" applyBorder="1" applyAlignment="1" applyProtection="1">
      <alignment horizontal="center" vertical="center"/>
    </xf>
    <xf numFmtId="0" fontId="6" fillId="4" borderId="34" xfId="4" applyNumberFormat="1" applyFont="1" applyFill="1" applyBorder="1" applyAlignment="1" applyProtection="1">
      <alignment horizontal="center" vertical="center" wrapText="1"/>
    </xf>
    <xf numFmtId="0" fontId="6" fillId="4" borderId="35" xfId="4" applyNumberFormat="1" applyFont="1" applyFill="1" applyBorder="1" applyAlignment="1" applyProtection="1">
      <alignment horizontal="center" vertical="center"/>
    </xf>
    <xf numFmtId="179" fontId="6" fillId="4" borderId="34" xfId="4" applyNumberFormat="1" applyFont="1" applyFill="1" applyBorder="1" applyAlignment="1" applyProtection="1">
      <alignment horizontal="center" vertical="center" wrapText="1"/>
    </xf>
    <xf numFmtId="180" fontId="6" fillId="4" borderId="34" xfId="4" applyNumberFormat="1" applyFont="1" applyFill="1" applyBorder="1" applyAlignment="1" applyProtection="1">
      <alignment horizontal="center" vertical="center"/>
    </xf>
    <xf numFmtId="0" fontId="6" fillId="4" borderId="36" xfId="4" applyNumberFormat="1" applyFont="1" applyFill="1" applyBorder="1" applyAlignment="1" applyProtection="1">
      <alignment horizontal="center" vertical="center" wrapText="1"/>
    </xf>
    <xf numFmtId="179" fontId="6" fillId="4" borderId="37" xfId="4" applyNumberFormat="1" applyFont="1" applyFill="1" applyBorder="1" applyAlignment="1" applyProtection="1">
      <alignment vertical="center"/>
    </xf>
    <xf numFmtId="181" fontId="6" fillId="4" borderId="38" xfId="4" applyNumberFormat="1" applyFont="1" applyFill="1" applyBorder="1" applyAlignment="1" applyProtection="1">
      <alignment horizontal="center" vertical="center"/>
    </xf>
    <xf numFmtId="181" fontId="7" fillId="0" borderId="39" xfId="4" applyNumberFormat="1" applyFont="1" applyFill="1" applyBorder="1" applyAlignment="1" applyProtection="1">
      <alignment horizontal="right" vertical="center"/>
    </xf>
    <xf numFmtId="181" fontId="7" fillId="0" borderId="40" xfId="4" applyNumberFormat="1" applyFont="1" applyFill="1" applyBorder="1" applyAlignment="1" applyProtection="1">
      <alignment horizontal="right" vertical="center"/>
    </xf>
    <xf numFmtId="182" fontId="7" fillId="0" borderId="40" xfId="4" applyNumberFormat="1" applyFont="1" applyFill="1" applyBorder="1" applyAlignment="1" applyProtection="1">
      <alignment horizontal="right" vertical="center"/>
    </xf>
    <xf numFmtId="183" fontId="7" fillId="0" borderId="40" xfId="4" applyNumberFormat="1" applyFont="1" applyFill="1" applyBorder="1" applyAlignment="1" applyProtection="1">
      <alignment horizontal="right" vertical="center"/>
    </xf>
    <xf numFmtId="184" fontId="7" fillId="0" borderId="40" xfId="4" applyNumberFormat="1" applyFont="1" applyFill="1" applyBorder="1" applyAlignment="1" applyProtection="1">
      <alignment vertical="center"/>
    </xf>
    <xf numFmtId="181" fontId="7" fillId="0" borderId="40" xfId="4" applyNumberFormat="1" applyFont="1" applyFill="1" applyBorder="1" applyAlignment="1" applyProtection="1">
      <alignment vertical="center"/>
    </xf>
    <xf numFmtId="178" fontId="7" fillId="0" borderId="40" xfId="4" applyNumberFormat="1" applyFont="1" applyFill="1" applyBorder="1" applyAlignment="1" applyProtection="1">
      <alignment vertical="center"/>
    </xf>
    <xf numFmtId="178" fontId="7" fillId="0" borderId="41" xfId="4" applyNumberFormat="1" applyFont="1" applyFill="1" applyBorder="1" applyAlignment="1" applyProtection="1">
      <alignment vertical="center"/>
    </xf>
    <xf numFmtId="181" fontId="0" fillId="0" borderId="39" xfId="0" applyNumberFormat="1" applyFont="1" applyFill="1" applyBorder="1" applyAlignment="1" applyProtection="1">
      <alignment vertical="center"/>
    </xf>
    <xf numFmtId="181" fontId="0" fillId="0" borderId="40" xfId="0" applyNumberFormat="1" applyFont="1" applyFill="1" applyBorder="1" applyAlignment="1" applyProtection="1">
      <alignment vertical="center"/>
    </xf>
    <xf numFmtId="0" fontId="0" fillId="0" borderId="40" xfId="0" applyNumberFormat="1" applyFont="1" applyFill="1" applyBorder="1" applyAlignment="1" applyProtection="1">
      <alignment vertical="center"/>
    </xf>
    <xf numFmtId="181" fontId="0" fillId="0" borderId="42" xfId="0" applyNumberFormat="1" applyFont="1" applyFill="1" applyBorder="1" applyAlignment="1" applyProtection="1">
      <alignment vertical="center"/>
    </xf>
    <xf numFmtId="181" fontId="0" fillId="0" borderId="43" xfId="0" applyNumberFormat="1" applyFont="1" applyFill="1" applyBorder="1" applyAlignment="1" applyProtection="1">
      <alignment vertical="center"/>
    </xf>
    <xf numFmtId="0" fontId="0" fillId="0" borderId="43" xfId="0" applyNumberFormat="1" applyFont="1" applyFill="1" applyBorder="1" applyAlignment="1" applyProtection="1">
      <alignment vertical="center"/>
    </xf>
    <xf numFmtId="182" fontId="7" fillId="0" borderId="43" xfId="4" applyNumberFormat="1" applyFont="1" applyFill="1" applyBorder="1" applyAlignment="1" applyProtection="1">
      <alignment horizontal="right" vertical="center"/>
    </xf>
    <xf numFmtId="184" fontId="7" fillId="0" borderId="43" xfId="4" applyNumberFormat="1" applyFont="1" applyFill="1" applyBorder="1" applyAlignment="1" applyProtection="1">
      <alignment vertical="center"/>
    </xf>
    <xf numFmtId="181" fontId="7" fillId="0" borderId="43" xfId="4" applyNumberFormat="1" applyFont="1" applyFill="1" applyBorder="1" applyAlignment="1" applyProtection="1">
      <alignment vertical="center"/>
    </xf>
    <xf numFmtId="178" fontId="7" fillId="0" borderId="43" xfId="4" applyNumberFormat="1" applyFont="1" applyFill="1" applyBorder="1" applyAlignment="1" applyProtection="1">
      <alignment vertical="center"/>
    </xf>
    <xf numFmtId="178" fontId="7" fillId="0" borderId="44" xfId="4" applyNumberFormat="1" applyFont="1" applyFill="1" applyBorder="1" applyAlignment="1" applyProtection="1">
      <alignment vertical="center"/>
    </xf>
    <xf numFmtId="6" fontId="7" fillId="0" borderId="40" xfId="4" applyNumberFormat="1" applyFont="1" applyFill="1" applyBorder="1" applyAlignment="1" applyProtection="1">
      <alignment horizontal="right" vertical="center"/>
    </xf>
    <xf numFmtId="6" fontId="7" fillId="0" borderId="43" xfId="4" applyNumberFormat="1" applyFont="1" applyFill="1" applyBorder="1" applyAlignment="1" applyProtection="1">
      <alignment horizontal="right" vertical="center"/>
    </xf>
    <xf numFmtId="55" fontId="0" fillId="0" borderId="12" xfId="0" applyNumberFormat="1" applyFont="1" applyFill="1" applyBorder="1" applyAlignment="1" applyProtection="1">
      <alignment horizontal="center" vertical="center"/>
    </xf>
    <xf numFmtId="5" fontId="1" fillId="0" borderId="45" xfId="0" applyNumberFormat="1" applyFont="1" applyFill="1" applyBorder="1" applyAlignment="1" applyProtection="1">
      <alignment vertical="center"/>
    </xf>
    <xf numFmtId="181" fontId="1" fillId="0" borderId="46" xfId="0" applyNumberFormat="1" applyFont="1" applyFill="1" applyBorder="1" applyAlignment="1" applyProtection="1">
      <alignment vertical="center"/>
    </xf>
    <xf numFmtId="6" fontId="1" fillId="0" borderId="46" xfId="0" applyNumberFormat="1" applyFont="1" applyFill="1" applyBorder="1" applyAlignment="1" applyProtection="1">
      <alignment vertical="center"/>
    </xf>
    <xf numFmtId="183" fontId="1" fillId="0" borderId="46" xfId="0" applyNumberFormat="1" applyFont="1" applyFill="1" applyBorder="1" applyAlignment="1" applyProtection="1">
      <alignment vertical="center"/>
    </xf>
    <xf numFmtId="182" fontId="1" fillId="0" borderId="46" xfId="0" applyNumberFormat="1" applyFont="1" applyFill="1" applyBorder="1" applyAlignment="1" applyProtection="1">
      <alignment vertical="center"/>
    </xf>
    <xf numFmtId="184" fontId="8" fillId="0" borderId="46" xfId="0" applyNumberFormat="1" applyFont="1" applyFill="1" applyBorder="1" applyAlignment="1" applyProtection="1">
      <alignment vertical="center"/>
    </xf>
    <xf numFmtId="178" fontId="1" fillId="0" borderId="47" xfId="0" applyNumberFormat="1" applyFont="1" applyFill="1" applyBorder="1" applyAlignment="1" applyProtection="1">
      <alignment vertical="center"/>
    </xf>
    <xf numFmtId="178" fontId="1" fillId="0" borderId="48" xfId="0" applyNumberFormat="1" applyFont="1" applyFill="1" applyBorder="1" applyAlignment="1" applyProtection="1">
      <alignment vertical="center"/>
    </xf>
    <xf numFmtId="0" fontId="0" fillId="0" borderId="49" xfId="0" applyNumberFormat="1" applyFont="1" applyFill="1" applyBorder="1" applyAlignment="1" applyProtection="1">
      <alignment vertical="center"/>
    </xf>
    <xf numFmtId="0" fontId="9" fillId="0" borderId="41" xfId="0" applyNumberFormat="1" applyFont="1" applyFill="1" applyBorder="1" applyAlignment="1" applyProtection="1">
      <alignment vertical="center"/>
    </xf>
    <xf numFmtId="0" fontId="6" fillId="5" borderId="0" xfId="4" applyNumberFormat="1" applyFont="1" applyFill="1" applyBorder="1" applyAlignment="1" applyProtection="1">
      <alignment vertical="center"/>
    </xf>
    <xf numFmtId="5" fontId="6" fillId="5" borderId="0" xfId="4" applyNumberFormat="1" applyFont="1" applyFill="1" applyBorder="1" applyAlignment="1" applyProtection="1">
      <alignment horizontal="center" vertical="center"/>
    </xf>
    <xf numFmtId="179" fontId="6" fillId="5" borderId="0" xfId="4" applyNumberFormat="1" applyFont="1" applyFill="1" applyBorder="1" applyAlignment="1" applyProtection="1">
      <alignment vertical="center"/>
    </xf>
    <xf numFmtId="6" fontId="6" fillId="5" borderId="0" xfId="4" applyNumberFormat="1" applyFont="1" applyFill="1" applyBorder="1" applyAlignment="1" applyProtection="1">
      <alignment vertical="center"/>
    </xf>
    <xf numFmtId="6" fontId="6" fillId="5" borderId="0" xfId="4" applyNumberFormat="1" applyFont="1" applyFill="1" applyBorder="1" applyAlignment="1" applyProtection="1">
      <alignment horizontal="center" vertical="center"/>
    </xf>
    <xf numFmtId="0" fontId="0" fillId="5" borderId="0" xfId="0" applyNumberFormat="1" applyFont="1" applyFill="1" applyBorder="1" applyAlignment="1" applyProtection="1">
      <alignment vertical="center"/>
    </xf>
    <xf numFmtId="0" fontId="6" fillId="5" borderId="53" xfId="4" applyNumberFormat="1" applyFont="1" applyFill="1" applyBorder="1" applyAlignment="1" applyProtection="1">
      <alignment vertical="center"/>
    </xf>
    <xf numFmtId="5" fontId="6" fillId="5" borderId="53" xfId="4" applyNumberFormat="1" applyFont="1" applyFill="1" applyBorder="1" applyAlignment="1" applyProtection="1">
      <alignment horizontal="center" vertical="center"/>
    </xf>
    <xf numFmtId="179" fontId="6" fillId="5" borderId="53" xfId="4" applyNumberFormat="1" applyFont="1" applyFill="1" applyBorder="1" applyAlignment="1" applyProtection="1">
      <alignment vertical="center"/>
    </xf>
    <xf numFmtId="6" fontId="6" fillId="5" borderId="53" xfId="4" applyNumberFormat="1" applyFont="1" applyFill="1" applyBorder="1" applyAlignment="1" applyProtection="1">
      <alignment vertical="center"/>
    </xf>
    <xf numFmtId="6" fontId="6" fillId="5" borderId="53" xfId="4" applyNumberFormat="1" applyFont="1" applyFill="1" applyBorder="1" applyAlignment="1" applyProtection="1">
      <alignment horizontal="center" vertical="center"/>
    </xf>
    <xf numFmtId="0" fontId="0" fillId="5" borderId="53" xfId="0" applyNumberFormat="1" applyFont="1" applyFill="1" applyBorder="1" applyAlignment="1" applyProtection="1">
      <alignment vertical="center"/>
    </xf>
    <xf numFmtId="0" fontId="0" fillId="0" borderId="53" xfId="0" applyNumberFormat="1" applyFont="1" applyFill="1" applyBorder="1" applyAlignment="1" applyProtection="1">
      <alignment vertical="center"/>
    </xf>
    <xf numFmtId="0" fontId="0" fillId="0" borderId="54" xfId="0" applyNumberFormat="1" applyFont="1" applyFill="1" applyBorder="1" applyAlignment="1" applyProtection="1">
      <alignment vertical="center"/>
    </xf>
    <xf numFmtId="5" fontId="7" fillId="6" borderId="54" xfId="4" applyNumberFormat="1" applyFont="1" applyFill="1" applyBorder="1" applyAlignment="1" applyProtection="1">
      <alignment horizontal="center"/>
    </xf>
    <xf numFmtId="5" fontId="6" fillId="0" borderId="54" xfId="4" applyNumberFormat="1" applyFont="1" applyFill="1" applyBorder="1" applyAlignment="1" applyProtection="1">
      <alignment horizontal="center" vertical="center"/>
    </xf>
    <xf numFmtId="0" fontId="6" fillId="0" borderId="54" xfId="4" applyNumberFormat="1" applyFont="1" applyFill="1" applyBorder="1" applyAlignment="1" applyProtection="1"/>
    <xf numFmtId="5" fontId="7" fillId="6" borderId="11" xfId="4" applyNumberFormat="1" applyFont="1" applyFill="1" applyBorder="1" applyAlignment="1" applyProtection="1">
      <alignment horizontal="center"/>
    </xf>
    <xf numFmtId="0" fontId="10" fillId="4" borderId="55" xfId="4" applyNumberFormat="1" applyFont="1" applyFill="1" applyBorder="1" applyAlignment="1" applyProtection="1">
      <alignment horizontal="center" vertical="center"/>
    </xf>
    <xf numFmtId="5" fontId="10" fillId="5" borderId="53" xfId="4" applyNumberFormat="1" applyFont="1" applyFill="1" applyBorder="1" applyAlignment="1" applyProtection="1">
      <alignment horizontal="center" vertical="center"/>
    </xf>
    <xf numFmtId="9" fontId="6" fillId="5" borderId="56" xfId="4" applyNumberFormat="1" applyFont="1" applyFill="1" applyBorder="1" applyAlignment="1" applyProtection="1">
      <alignment horizontal="center" vertical="center"/>
    </xf>
    <xf numFmtId="5" fontId="7" fillId="6" borderId="57" xfId="4" applyNumberFormat="1" applyFont="1" applyFill="1" applyBorder="1" applyAlignment="1" applyProtection="1">
      <alignment horizontal="center"/>
    </xf>
    <xf numFmtId="0" fontId="0" fillId="0" borderId="58" xfId="0" applyNumberFormat="1" applyFont="1" applyFill="1" applyBorder="1" applyAlignment="1" applyProtection="1">
      <alignment vertical="center"/>
    </xf>
    <xf numFmtId="0" fontId="0" fillId="0" borderId="59" xfId="0" applyNumberFormat="1" applyFont="1" applyFill="1" applyBorder="1" applyAlignment="1" applyProtection="1">
      <alignment vertical="center"/>
    </xf>
    <xf numFmtId="0" fontId="0" fillId="0" borderId="60" xfId="0" applyNumberFormat="1" applyFont="1" applyFill="1" applyBorder="1" applyAlignment="1" applyProtection="1">
      <alignment vertical="center"/>
    </xf>
    <xf numFmtId="0" fontId="6" fillId="4" borderId="27" xfId="4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vertical="center"/>
    </xf>
    <xf numFmtId="0" fontId="0" fillId="0" borderId="61" xfId="0" applyNumberFormat="1" applyFont="1" applyFill="1" applyBorder="1" applyAlignment="1" applyProtection="1">
      <alignment vertical="center"/>
    </xf>
    <xf numFmtId="0" fontId="1" fillId="0" borderId="0" xfId="2">
      <alignment vertical="center"/>
    </xf>
    <xf numFmtId="0" fontId="1" fillId="0" borderId="62" xfId="2" applyBorder="1">
      <alignment vertical="center"/>
    </xf>
    <xf numFmtId="0" fontId="1" fillId="0" borderId="63" xfId="2" applyBorder="1">
      <alignment vertical="center"/>
    </xf>
    <xf numFmtId="0" fontId="1" fillId="0" borderId="64" xfId="2" applyBorder="1">
      <alignment vertical="center"/>
    </xf>
    <xf numFmtId="0" fontId="1" fillId="0" borderId="28" xfId="2" applyBorder="1">
      <alignment vertical="center"/>
    </xf>
    <xf numFmtId="0" fontId="1" fillId="0" borderId="0" xfId="2" applyBorder="1">
      <alignment vertical="center"/>
    </xf>
    <xf numFmtId="0" fontId="12" fillId="0" borderId="0" xfId="0" applyFont="1">
      <alignment vertical="center"/>
    </xf>
    <xf numFmtId="186" fontId="0" fillId="0" borderId="0" xfId="1" applyNumberFormat="1" applyFont="1">
      <alignment vertical="center"/>
    </xf>
    <xf numFmtId="187" fontId="0" fillId="0" borderId="0" xfId="0" applyNumberFormat="1">
      <alignment vertical="center"/>
    </xf>
    <xf numFmtId="186" fontId="0" fillId="0" borderId="28" xfId="1" applyNumberFormat="1" applyFont="1" applyFill="1" applyBorder="1" applyAlignment="1" applyProtection="1">
      <alignment vertical="center"/>
    </xf>
    <xf numFmtId="0" fontId="12" fillId="0" borderId="0" xfId="0" applyFont="1" applyFill="1" applyBorder="1">
      <alignment vertical="center"/>
    </xf>
    <xf numFmtId="0" fontId="4" fillId="2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vertical="center"/>
    </xf>
    <xf numFmtId="0" fontId="0" fillId="3" borderId="19" xfId="0" applyNumberFormat="1" applyFill="1" applyBorder="1" applyAlignment="1" applyProtection="1">
      <alignment vertical="center"/>
    </xf>
    <xf numFmtId="0" fontId="0" fillId="3" borderId="0" xfId="0" applyNumberFormat="1" applyFont="1" applyFill="1" applyBorder="1" applyAlignment="1" applyProtection="1">
      <alignment vertical="center"/>
    </xf>
    <xf numFmtId="0" fontId="0" fillId="3" borderId="19" xfId="0" applyNumberFormat="1" applyFont="1" applyFill="1" applyBorder="1" applyAlignment="1" applyProtection="1">
      <alignment vertical="center" wrapText="1"/>
    </xf>
    <xf numFmtId="0" fontId="12" fillId="0" borderId="4" xfId="0" applyNumberFormat="1" applyFont="1" applyFill="1" applyBorder="1" applyAlignment="1" applyProtection="1">
      <alignment vertical="center"/>
    </xf>
    <xf numFmtId="0" fontId="12" fillId="0" borderId="5" xfId="0" applyNumberFormat="1" applyFont="1" applyFill="1" applyBorder="1" applyAlignment="1" applyProtection="1">
      <alignment vertical="center"/>
    </xf>
    <xf numFmtId="185" fontId="0" fillId="0" borderId="0" xfId="0" applyNumberFormat="1">
      <alignment vertical="center"/>
    </xf>
    <xf numFmtId="0" fontId="0" fillId="7" borderId="0" xfId="0" applyFill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3" borderId="21" xfId="0" applyNumberFormat="1" applyFont="1" applyFill="1" applyBorder="1" applyAlignment="1" applyProtection="1">
      <alignment vertical="center"/>
    </xf>
    <xf numFmtId="186" fontId="0" fillId="0" borderId="1" xfId="1" applyNumberFormat="1" applyFont="1" applyFill="1" applyBorder="1" applyAlignment="1" applyProtection="1">
      <alignment vertical="center"/>
    </xf>
    <xf numFmtId="186" fontId="0" fillId="0" borderId="1" xfId="0" applyNumberFormat="1" applyFont="1" applyFill="1" applyBorder="1" applyAlignment="1" applyProtection="1">
      <alignment vertical="center"/>
    </xf>
    <xf numFmtId="186" fontId="0" fillId="7" borderId="0" xfId="1" applyNumberFormat="1" applyFont="1" applyFill="1">
      <alignment vertical="center"/>
    </xf>
    <xf numFmtId="24" fontId="1" fillId="0" borderId="0" xfId="0" applyNumberFormat="1" applyFont="1" applyFill="1" applyBorder="1" applyAlignment="1" applyProtection="1">
      <alignment vertical="center"/>
    </xf>
    <xf numFmtId="186" fontId="0" fillId="0" borderId="0" xfId="0" applyNumberFormat="1">
      <alignment vertical="center"/>
    </xf>
    <xf numFmtId="0" fontId="4" fillId="2" borderId="30" xfId="0" applyNumberFormat="1" applyFont="1" applyFill="1" applyBorder="1" applyAlignment="1" applyProtection="1">
      <alignment horizontal="center" vertical="center"/>
    </xf>
    <xf numFmtId="0" fontId="0" fillId="0" borderId="65" xfId="0" applyNumberFormat="1" applyFont="1" applyFill="1" applyBorder="1" applyAlignment="1" applyProtection="1">
      <alignment horizontal="center" vertical="center"/>
    </xf>
    <xf numFmtId="0" fontId="0" fillId="0" borderId="56" xfId="0" applyNumberFormat="1" applyFont="1" applyFill="1" applyBorder="1" applyAlignment="1" applyProtection="1">
      <alignment horizontal="center" vertical="center"/>
    </xf>
    <xf numFmtId="0" fontId="0" fillId="0" borderId="63" xfId="0" applyNumberFormat="1" applyFont="1" applyFill="1" applyBorder="1" applyAlignment="1" applyProtection="1">
      <alignment horizontal="center"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0" fontId="3" fillId="0" borderId="0" xfId="0" applyFont="1">
      <alignment vertical="center"/>
    </xf>
    <xf numFmtId="179" fontId="0" fillId="0" borderId="0" xfId="0" applyNumberFormat="1">
      <alignment vertical="center"/>
    </xf>
    <xf numFmtId="0" fontId="12" fillId="3" borderId="19" xfId="0" applyNumberFormat="1" applyFont="1" applyFill="1" applyBorder="1" applyAlignment="1" applyProtection="1">
      <alignment vertical="center" wrapText="1"/>
    </xf>
    <xf numFmtId="0" fontId="12" fillId="7" borderId="0" xfId="0" applyFont="1" applyFill="1" applyAlignment="1">
      <alignment vertical="center" wrapText="1"/>
    </xf>
    <xf numFmtId="0" fontId="12" fillId="8" borderId="0" xfId="0" applyFont="1" applyFill="1" applyAlignment="1">
      <alignment vertical="center" wrapText="1"/>
    </xf>
    <xf numFmtId="0" fontId="12" fillId="0" borderId="0" xfId="0" applyFont="1" applyFill="1" applyBorder="1" applyAlignment="1">
      <alignment vertical="center" wrapText="1"/>
    </xf>
    <xf numFmtId="0" fontId="0" fillId="3" borderId="37" xfId="0" applyNumberFormat="1" applyFill="1" applyBorder="1" applyAlignment="1" applyProtection="1">
      <alignment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20" fontId="12" fillId="0" borderId="0" xfId="0" applyNumberFormat="1" applyFont="1" applyFill="1" applyBorder="1">
      <alignment vertical="center"/>
    </xf>
    <xf numFmtId="188" fontId="0" fillId="0" borderId="0" xfId="0" applyNumberFormat="1">
      <alignment vertical="center"/>
    </xf>
    <xf numFmtId="0" fontId="12" fillId="3" borderId="19" xfId="0" applyNumberFormat="1" applyFont="1" applyFill="1" applyBorder="1" applyAlignment="1" applyProtection="1">
      <alignment horizontal="center" vertical="center" wrapText="1"/>
    </xf>
    <xf numFmtId="0" fontId="12" fillId="3" borderId="0" xfId="0" applyNumberFormat="1" applyFont="1" applyFill="1" applyBorder="1" applyAlignment="1" applyProtection="1">
      <alignment vertical="center"/>
    </xf>
    <xf numFmtId="0" fontId="12" fillId="9" borderId="0" xfId="0" applyFont="1" applyFill="1">
      <alignment vertical="center"/>
    </xf>
    <xf numFmtId="0" fontId="12" fillId="9" borderId="0" xfId="0" applyFont="1" applyFill="1" applyBorder="1">
      <alignment vertical="center"/>
    </xf>
    <xf numFmtId="0" fontId="0" fillId="0" borderId="0" xfId="0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86" fontId="0" fillId="0" borderId="0" xfId="1" applyNumberFormat="1" applyFont="1" applyFill="1" applyBorder="1" applyAlignment="1" applyProtection="1">
      <alignment vertical="center"/>
    </xf>
    <xf numFmtId="14" fontId="12" fillId="0" borderId="0" xfId="0" applyNumberFormat="1" applyFont="1">
      <alignment vertical="center"/>
    </xf>
    <xf numFmtId="0" fontId="0" fillId="9" borderId="0" xfId="0" applyFill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>
      <alignment vertical="center"/>
    </xf>
    <xf numFmtId="0" fontId="0" fillId="0" borderId="0" xfId="0" applyFont="1" applyFill="1" applyBorder="1" applyAlignment="1">
      <alignment vertical="center" wrapText="1"/>
    </xf>
    <xf numFmtId="0" fontId="1" fillId="9" borderId="0" xfId="0" applyFont="1" applyFill="1">
      <alignment vertical="center"/>
    </xf>
    <xf numFmtId="5" fontId="7" fillId="6" borderId="13" xfId="4" applyNumberFormat="1" applyFont="1" applyFill="1" applyBorder="1" applyAlignment="1" applyProtection="1">
      <alignment horizontal="center"/>
    </xf>
    <xf numFmtId="5" fontId="7" fillId="6" borderId="56" xfId="4" applyNumberFormat="1" applyFont="1" applyFill="1" applyBorder="1" applyAlignment="1" applyProtection="1">
      <alignment horizontal="center"/>
    </xf>
    <xf numFmtId="5" fontId="7" fillId="6" borderId="41" xfId="4" applyNumberFormat="1" applyFont="1" applyFill="1" applyBorder="1" applyAlignment="1" applyProtection="1">
      <alignment horizontal="center"/>
    </xf>
    <xf numFmtId="5" fontId="7" fillId="6" borderId="58" xfId="4" applyNumberFormat="1" applyFont="1" applyFill="1" applyBorder="1" applyAlignment="1" applyProtection="1">
      <alignment horizontal="center"/>
    </xf>
    <xf numFmtId="5" fontId="7" fillId="6" borderId="50" xfId="4" applyNumberFormat="1" applyFont="1" applyFill="1" applyBorder="1" applyAlignment="1" applyProtection="1">
      <alignment horizontal="center"/>
    </xf>
    <xf numFmtId="5" fontId="11" fillId="0" borderId="11" xfId="4" applyNumberFormat="1" applyFont="1" applyFill="1" applyBorder="1" applyAlignment="1" applyProtection="1">
      <alignment horizontal="center" vertical="center"/>
    </xf>
    <xf numFmtId="185" fontId="6" fillId="0" borderId="20" xfId="4" applyNumberFormat="1" applyFont="1" applyFill="1" applyBorder="1" applyAlignment="1" applyProtection="1">
      <alignment horizontal="center" vertical="center"/>
    </xf>
    <xf numFmtId="185" fontId="6" fillId="0" borderId="31" xfId="4" applyNumberFormat="1" applyFont="1" applyFill="1" applyBorder="1" applyAlignment="1" applyProtection="1">
      <alignment horizontal="center" vertical="center"/>
    </xf>
    <xf numFmtId="5" fontId="6" fillId="0" borderId="50" xfId="4" applyNumberFormat="1" applyFont="1" applyFill="1" applyBorder="1" applyAlignment="1" applyProtection="1">
      <alignment horizontal="center" vertical="center"/>
    </xf>
    <xf numFmtId="5" fontId="6" fillId="0" borderId="51" xfId="4" applyNumberFormat="1" applyFont="1" applyFill="1" applyBorder="1" applyAlignment="1" applyProtection="1">
      <alignment horizontal="center" vertical="center"/>
    </xf>
    <xf numFmtId="0" fontId="4" fillId="2" borderId="52" xfId="0" applyNumberFormat="1" applyFont="1" applyFill="1" applyBorder="1" applyAlignment="1" applyProtection="1">
      <alignment horizontal="center" vertical="center"/>
    </xf>
    <xf numFmtId="0" fontId="4" fillId="2" borderId="31" xfId="0" applyNumberFormat="1" applyFont="1" applyFill="1" applyBorder="1" applyAlignment="1" applyProtection="1">
      <alignment horizontal="center" vertical="center"/>
    </xf>
    <xf numFmtId="0" fontId="4" fillId="2" borderId="27" xfId="0" applyNumberFormat="1" applyFont="1" applyFill="1" applyBorder="1" applyAlignment="1" applyProtection="1">
      <alignment horizontal="center" vertical="center"/>
    </xf>
    <xf numFmtId="0" fontId="4" fillId="2" borderId="19" xfId="0" applyNumberFormat="1" applyFont="1" applyFill="1" applyBorder="1" applyAlignment="1" applyProtection="1">
      <alignment horizontal="center" vertical="center"/>
    </xf>
  </cellXfs>
  <cellStyles count="5">
    <cellStyle name="桁区切り" xfId="1" builtinId="6"/>
    <cellStyle name="標準" xfId="0" builtinId="0"/>
    <cellStyle name="標準 2" xfId="3"/>
    <cellStyle name="標準 3" xfId="4"/>
    <cellStyle name="標準_気づき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666750</xdr:colOff>
      <xdr:row>42</xdr:row>
      <xdr:rowOff>114300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15</xdr:col>
      <xdr:colOff>625452</xdr:colOff>
      <xdr:row>13</xdr:row>
      <xdr:rowOff>89418</xdr:rowOff>
    </xdr:from>
    <xdr:to>
      <xdr:col>16</xdr:col>
      <xdr:colOff>552450</xdr:colOff>
      <xdr:row>15</xdr:row>
      <xdr:rowOff>142875</xdr:rowOff>
    </xdr:to>
    <xdr:cxnSp macro="">
      <xdr:nvCxnSpPr>
        <xdr:cNvPr id="6" name="直線矢印コネクタ 5"/>
        <xdr:cNvCxnSpPr>
          <a:stCxn id="7" idx="3"/>
        </xdr:cNvCxnSpPr>
      </xdr:nvCxnSpPr>
      <xdr:spPr>
        <a:xfrm>
          <a:off x="10912452" y="2318268"/>
          <a:ext cx="612798" cy="396357"/>
        </a:xfrm>
        <a:prstGeom prst="straightConnector1">
          <a:avLst/>
        </a:prstGeom>
        <a:ln w="1905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14</xdr:col>
      <xdr:colOff>485775</xdr:colOff>
      <xdr:row>11</xdr:row>
      <xdr:rowOff>85725</xdr:rowOff>
    </xdr:from>
    <xdr:ext cx="825477" cy="693185"/>
    <xdr:sp macro="" textlink="">
      <xdr:nvSpPr>
        <xdr:cNvPr id="7" name="テキスト ボックス 6"/>
        <xdr:cNvSpPr txBox="1"/>
      </xdr:nvSpPr>
      <xdr:spPr>
        <a:xfrm>
          <a:off x="10086975" y="1971675"/>
          <a:ext cx="825477" cy="693185"/>
        </a:xfrm>
        <a:prstGeom prst="rect">
          <a:avLst/>
        </a:prstGeom>
        <a:noFill/>
        <a:ln w="19050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kumimoji="1" lang="en-US" altLang="ja-JP" sz="1100">
              <a:solidFill>
                <a:schemeClr val="bg1"/>
              </a:solidFill>
            </a:rPr>
            <a:t>Entry price</a:t>
          </a:r>
        </a:p>
        <a:p>
          <a:r>
            <a:rPr kumimoji="1" lang="en-US" altLang="ja-JP" sz="1100">
              <a:solidFill>
                <a:schemeClr val="bg1"/>
              </a:solidFill>
            </a:rPr>
            <a:t>       H+1</a:t>
          </a:r>
        </a:p>
        <a:p>
          <a:r>
            <a:rPr kumimoji="1" lang="en-US" altLang="ja-JP" sz="1100">
              <a:solidFill>
                <a:schemeClr val="bg1"/>
              </a:solidFill>
            </a:rPr>
            <a:t>Entry point</a:t>
          </a:r>
          <a:endParaRPr kumimoji="1" lang="ja-JP" altLang="en-US" sz="1100">
            <a:solidFill>
              <a:schemeClr val="bg1"/>
            </a:solidFill>
          </a:endParaRPr>
        </a:p>
      </xdr:txBody>
    </xdr:sp>
    <xdr:clientData/>
  </xdr:oneCellAnchor>
  <xdr:twoCellAnchor>
    <xdr:from>
      <xdr:col>0</xdr:col>
      <xdr:colOff>0</xdr:colOff>
      <xdr:row>0</xdr:row>
      <xdr:rowOff>0</xdr:rowOff>
    </xdr:from>
    <xdr:to>
      <xdr:col>0</xdr:col>
      <xdr:colOff>1</xdr:colOff>
      <xdr:row>2</xdr:row>
      <xdr:rowOff>95250</xdr:rowOff>
    </xdr:to>
    <xdr:cxnSp macro="">
      <xdr:nvCxnSpPr>
        <xdr:cNvPr id="9" name="直線矢印コネクタ 8"/>
        <xdr:cNvCxnSpPr/>
      </xdr:nvCxnSpPr>
      <xdr:spPr>
        <a:xfrm>
          <a:off x="0" y="0"/>
          <a:ext cx="1" cy="438150"/>
        </a:xfrm>
        <a:prstGeom prst="straightConnector1">
          <a:avLst/>
        </a:prstGeom>
        <a:ln w="1905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390525</xdr:colOff>
      <xdr:row>17</xdr:row>
      <xdr:rowOff>19050</xdr:rowOff>
    </xdr:from>
    <xdr:to>
      <xdr:col>16</xdr:col>
      <xdr:colOff>666750</xdr:colOff>
      <xdr:row>20</xdr:row>
      <xdr:rowOff>9525</xdr:rowOff>
    </xdr:to>
    <xdr:cxnSp macro="">
      <xdr:nvCxnSpPr>
        <xdr:cNvPr id="10" name="直線矢印コネクタ 9"/>
        <xdr:cNvCxnSpPr/>
      </xdr:nvCxnSpPr>
      <xdr:spPr>
        <a:xfrm flipV="1">
          <a:off x="11363325" y="2933700"/>
          <a:ext cx="276225" cy="504825"/>
        </a:xfrm>
        <a:prstGeom prst="straightConnector1">
          <a:avLst/>
        </a:prstGeom>
        <a:ln w="1905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16</xdr:col>
      <xdr:colOff>38100</xdr:colOff>
      <xdr:row>20</xdr:row>
      <xdr:rowOff>57150</xdr:rowOff>
    </xdr:from>
    <xdr:ext cx="672685" cy="264560"/>
    <xdr:sp macro="" textlink="">
      <xdr:nvSpPr>
        <xdr:cNvPr id="16" name="テキスト ボックス 15"/>
        <xdr:cNvSpPr txBox="1"/>
      </xdr:nvSpPr>
      <xdr:spPr>
        <a:xfrm>
          <a:off x="11010900" y="3486150"/>
          <a:ext cx="67268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en-US" altLang="ja-JP" sz="1100">
              <a:solidFill>
                <a:schemeClr val="bg1"/>
              </a:solidFill>
            </a:rPr>
            <a:t>Initial LC</a:t>
          </a:r>
          <a:endParaRPr kumimoji="1" lang="ja-JP" altLang="en-US" sz="1100">
            <a:solidFill>
              <a:schemeClr val="bg1"/>
            </a:solidFill>
          </a:endParaRPr>
        </a:p>
      </xdr:txBody>
    </xdr:sp>
    <xdr:clientData/>
  </xdr:oneCellAnchor>
  <xdr:oneCellAnchor>
    <xdr:from>
      <xdr:col>17</xdr:col>
      <xdr:colOff>257175</xdr:colOff>
      <xdr:row>20</xdr:row>
      <xdr:rowOff>28575</xdr:rowOff>
    </xdr:from>
    <xdr:ext cx="394275" cy="264560"/>
    <xdr:sp macro="" textlink="">
      <xdr:nvSpPr>
        <xdr:cNvPr id="17" name="テキスト ボックス 16"/>
        <xdr:cNvSpPr txBox="1"/>
      </xdr:nvSpPr>
      <xdr:spPr>
        <a:xfrm>
          <a:off x="11915775" y="3457575"/>
          <a:ext cx="3942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en-US" altLang="ja-JP" sz="1100">
              <a:solidFill>
                <a:schemeClr val="bg1"/>
              </a:solidFill>
            </a:rPr>
            <a:t>Exit</a:t>
          </a:r>
          <a:endParaRPr kumimoji="1" lang="ja-JP" altLang="en-US" sz="1100">
            <a:solidFill>
              <a:schemeClr val="bg1"/>
            </a:solidFill>
          </a:endParaRPr>
        </a:p>
      </xdr:txBody>
    </xdr:sp>
    <xdr:clientData/>
  </xdr:oneCellAnchor>
  <xdr:twoCellAnchor>
    <xdr:from>
      <xdr:col>17</xdr:col>
      <xdr:colOff>428625</xdr:colOff>
      <xdr:row>17</xdr:row>
      <xdr:rowOff>9525</xdr:rowOff>
    </xdr:from>
    <xdr:to>
      <xdr:col>18</xdr:col>
      <xdr:colOff>19050</xdr:colOff>
      <xdr:row>20</xdr:row>
      <xdr:rowOff>0</xdr:rowOff>
    </xdr:to>
    <xdr:cxnSp macro="">
      <xdr:nvCxnSpPr>
        <xdr:cNvPr id="18" name="直線矢印コネクタ 17"/>
        <xdr:cNvCxnSpPr/>
      </xdr:nvCxnSpPr>
      <xdr:spPr>
        <a:xfrm flipV="1">
          <a:off x="12087225" y="2924175"/>
          <a:ext cx="276225" cy="504825"/>
        </a:xfrm>
        <a:prstGeom prst="straightConnector1">
          <a:avLst/>
        </a:prstGeom>
        <a:ln w="1905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647700</xdr:colOff>
      <xdr:row>14</xdr:row>
      <xdr:rowOff>57150</xdr:rowOff>
    </xdr:from>
    <xdr:to>
      <xdr:col>17</xdr:col>
      <xdr:colOff>95250</xdr:colOff>
      <xdr:row>14</xdr:row>
      <xdr:rowOff>133350</xdr:rowOff>
    </xdr:to>
    <xdr:cxnSp macro="">
      <xdr:nvCxnSpPr>
        <xdr:cNvPr id="27" name="直線矢印コネクタ 26"/>
        <xdr:cNvCxnSpPr/>
      </xdr:nvCxnSpPr>
      <xdr:spPr>
        <a:xfrm>
          <a:off x="10934700" y="2457450"/>
          <a:ext cx="819150" cy="76200"/>
        </a:xfrm>
        <a:prstGeom prst="straightConnector1">
          <a:avLst/>
        </a:prstGeom>
        <a:ln w="1905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46</xdr:row>
      <xdr:rowOff>0</xdr:rowOff>
    </xdr:from>
    <xdr:to>
      <xdr:col>18</xdr:col>
      <xdr:colOff>666750</xdr:colOff>
      <xdr:row>88</xdr:row>
      <xdr:rowOff>114300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78867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11</xdr:col>
      <xdr:colOff>666749</xdr:colOff>
      <xdr:row>63</xdr:row>
      <xdr:rowOff>16667</xdr:rowOff>
    </xdr:from>
    <xdr:ext cx="1940719" cy="1102519"/>
    <xdr:sp macro="" textlink="">
      <xdr:nvSpPr>
        <xdr:cNvPr id="12" name="テキスト ボックス 11"/>
        <xdr:cNvSpPr txBox="1"/>
      </xdr:nvSpPr>
      <xdr:spPr>
        <a:xfrm>
          <a:off x="8262937" y="10517980"/>
          <a:ext cx="1940719" cy="1102519"/>
        </a:xfrm>
        <a:prstGeom prst="rect">
          <a:avLst/>
        </a:prstGeom>
        <a:noFill/>
        <a:ln w="19050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kumimoji="1" lang="en-US" altLang="ja-JP" sz="1100">
              <a:solidFill>
                <a:schemeClr val="bg1"/>
              </a:solidFill>
            </a:rPr>
            <a:t>Day</a:t>
          </a:r>
          <a:r>
            <a:rPr kumimoji="1" lang="ja-JP" altLang="en-US" sz="1100">
              <a:solidFill>
                <a:schemeClr val="bg1"/>
              </a:solidFill>
            </a:rPr>
            <a:t>で見ると</a:t>
          </a:r>
          <a:r>
            <a:rPr kumimoji="1" lang="en-US" altLang="ja-JP" sz="1100">
              <a:solidFill>
                <a:schemeClr val="bg1"/>
              </a:solidFill>
            </a:rPr>
            <a:t>UpChannel</a:t>
          </a:r>
          <a:r>
            <a:rPr kumimoji="1" lang="ja-JP" altLang="en-US" sz="1100">
              <a:solidFill>
                <a:schemeClr val="bg1"/>
              </a:solidFill>
            </a:rPr>
            <a:t>内での値動き。</a:t>
          </a:r>
          <a:endParaRPr kumimoji="1" lang="en-US" altLang="ja-JP" sz="1100">
            <a:solidFill>
              <a:schemeClr val="bg1"/>
            </a:solidFill>
          </a:endParaRPr>
        </a:p>
        <a:p>
          <a:r>
            <a:rPr kumimoji="1" lang="ja-JP" altLang="en-US" sz="1100">
              <a:solidFill>
                <a:schemeClr val="bg1"/>
              </a:solidFill>
            </a:rPr>
            <a:t>直近、</a:t>
          </a:r>
          <a:r>
            <a:rPr kumimoji="1" lang="en-US" altLang="ja-JP" sz="1100">
              <a:solidFill>
                <a:schemeClr val="bg1"/>
              </a:solidFill>
            </a:rPr>
            <a:t>MiddleLine</a:t>
          </a:r>
          <a:r>
            <a:rPr kumimoji="1" lang="ja-JP" altLang="en-US" sz="1100">
              <a:solidFill>
                <a:schemeClr val="bg1"/>
              </a:solidFill>
            </a:rPr>
            <a:t>からの</a:t>
          </a:r>
          <a:r>
            <a:rPr kumimoji="1" lang="en-US" altLang="ja-JP" sz="1100">
              <a:solidFill>
                <a:schemeClr val="bg1"/>
              </a:solidFill>
            </a:rPr>
            <a:t>Channel</a:t>
          </a:r>
          <a:r>
            <a:rPr kumimoji="1" lang="ja-JP" altLang="en-US" sz="1100">
              <a:solidFill>
                <a:schemeClr val="bg1"/>
              </a:solidFill>
            </a:rPr>
            <a:t>下辺付近までの</a:t>
          </a:r>
          <a:r>
            <a:rPr kumimoji="1" lang="en-US" altLang="ja-JP" sz="1100">
              <a:solidFill>
                <a:schemeClr val="bg1"/>
              </a:solidFill>
            </a:rPr>
            <a:t>down</a:t>
          </a:r>
          <a:r>
            <a:rPr kumimoji="1" lang="ja-JP" altLang="en-US" sz="1100">
              <a:solidFill>
                <a:schemeClr val="bg1"/>
              </a:solidFill>
            </a:rPr>
            <a:t>を想定。</a:t>
          </a:r>
        </a:p>
      </xdr:txBody>
    </xdr:sp>
    <xdr:clientData/>
  </xdr:oneCellAnchor>
  <xdr:twoCellAnchor>
    <xdr:from>
      <xdr:col>13</xdr:col>
      <xdr:colOff>476249</xdr:colOff>
      <xdr:row>55</xdr:row>
      <xdr:rowOff>119062</xdr:rowOff>
    </xdr:from>
    <xdr:to>
      <xdr:col>14</xdr:col>
      <xdr:colOff>619125</xdr:colOff>
      <xdr:row>63</xdr:row>
      <xdr:rowOff>7143</xdr:rowOff>
    </xdr:to>
    <xdr:cxnSp macro="">
      <xdr:nvCxnSpPr>
        <xdr:cNvPr id="13" name="直線矢印コネクタ 12"/>
        <xdr:cNvCxnSpPr/>
      </xdr:nvCxnSpPr>
      <xdr:spPr>
        <a:xfrm flipV="1">
          <a:off x="9453562" y="9286875"/>
          <a:ext cx="833438" cy="1221581"/>
        </a:xfrm>
        <a:prstGeom prst="straightConnector1">
          <a:avLst/>
        </a:prstGeom>
        <a:ln w="1905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104774</xdr:colOff>
      <xdr:row>64</xdr:row>
      <xdr:rowOff>0</xdr:rowOff>
    </xdr:from>
    <xdr:to>
      <xdr:col>20</xdr:col>
      <xdr:colOff>285750</xdr:colOff>
      <xdr:row>64</xdr:row>
      <xdr:rowOff>4762</xdr:rowOff>
    </xdr:to>
    <xdr:cxnSp macro="">
      <xdr:nvCxnSpPr>
        <xdr:cNvPr id="15" name="直線矢印コネクタ 14"/>
        <xdr:cNvCxnSpPr/>
      </xdr:nvCxnSpPr>
      <xdr:spPr>
        <a:xfrm flipV="1">
          <a:off x="13225462" y="10668000"/>
          <a:ext cx="871538" cy="4762"/>
        </a:xfrm>
        <a:prstGeom prst="straightConnector1">
          <a:avLst/>
        </a:prstGeom>
        <a:ln w="63500">
          <a:solidFill>
            <a:srgbClr val="00206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21</xdr:col>
      <xdr:colOff>11906</xdr:colOff>
      <xdr:row>46</xdr:row>
      <xdr:rowOff>0</xdr:rowOff>
    </xdr:from>
    <xdr:to>
      <xdr:col>39</xdr:col>
      <xdr:colOff>678656</xdr:colOff>
      <xdr:row>88</xdr:row>
      <xdr:rowOff>114300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13719" y="7667625"/>
          <a:ext cx="13096875" cy="7115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34</xdr:col>
      <xdr:colOff>257176</xdr:colOff>
      <xdr:row>46</xdr:row>
      <xdr:rowOff>85725</xdr:rowOff>
    </xdr:from>
    <xdr:ext cx="3733800" cy="1600200"/>
    <xdr:sp macro="" textlink="">
      <xdr:nvSpPr>
        <xdr:cNvPr id="20" name="テキスト ボックス 19"/>
        <xdr:cNvSpPr txBox="1"/>
      </xdr:nvSpPr>
      <xdr:spPr>
        <a:xfrm>
          <a:off x="23574376" y="7972425"/>
          <a:ext cx="3733800" cy="1600200"/>
        </a:xfrm>
        <a:prstGeom prst="rect">
          <a:avLst/>
        </a:prstGeom>
        <a:solidFill>
          <a:schemeClr val="accent1"/>
        </a:solidFill>
        <a:ln w="19050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kumimoji="1" lang="en-US" altLang="ja-JP" sz="1100" b="1" u="sng">
              <a:solidFill>
                <a:schemeClr val="bg1"/>
              </a:solidFill>
            </a:rPr>
            <a:t>H4</a:t>
          </a:r>
          <a:r>
            <a:rPr kumimoji="1" lang="ja-JP" altLang="en-US" sz="1100" b="1" u="sng">
              <a:solidFill>
                <a:schemeClr val="bg1"/>
              </a:solidFill>
            </a:rPr>
            <a:t>の</a:t>
          </a:r>
          <a:r>
            <a:rPr kumimoji="1" lang="en-US" altLang="ja-JP" sz="1100" b="1" u="sng">
              <a:solidFill>
                <a:schemeClr val="bg1"/>
              </a:solidFill>
            </a:rPr>
            <a:t>chart</a:t>
          </a:r>
        </a:p>
        <a:p>
          <a:r>
            <a:rPr kumimoji="1" lang="en-US" altLang="ja-JP" sz="1100">
              <a:solidFill>
                <a:schemeClr val="bg1"/>
              </a:solidFill>
            </a:rPr>
            <a:t>PB2</a:t>
          </a:r>
          <a:r>
            <a:rPr kumimoji="1" lang="ja-JP" altLang="en-US" sz="1100">
              <a:solidFill>
                <a:schemeClr val="bg1"/>
              </a:solidFill>
            </a:rPr>
            <a:t>本連続している。</a:t>
          </a:r>
          <a:r>
            <a:rPr kumimoji="1" lang="en-US" altLang="ja-JP" sz="1100">
              <a:solidFill>
                <a:schemeClr val="bg1"/>
              </a:solidFill>
            </a:rPr>
            <a:t>2</a:t>
          </a:r>
          <a:r>
            <a:rPr kumimoji="1" lang="ja-JP" altLang="en-US" sz="1100">
              <a:solidFill>
                <a:schemeClr val="bg1"/>
              </a:solidFill>
            </a:rPr>
            <a:t>本目の</a:t>
          </a:r>
          <a:r>
            <a:rPr kumimoji="1" lang="en-US" altLang="ja-JP" sz="1100">
              <a:solidFill>
                <a:schemeClr val="bg1"/>
              </a:solidFill>
            </a:rPr>
            <a:t>PB</a:t>
          </a:r>
          <a:r>
            <a:rPr kumimoji="1" lang="ja-JP" altLang="en-US" sz="1100">
              <a:solidFill>
                <a:schemeClr val="bg1"/>
              </a:solidFill>
            </a:rPr>
            <a:t>の</a:t>
          </a:r>
          <a:r>
            <a:rPr kumimoji="1" lang="en-US" altLang="ja-JP" sz="1100">
              <a:solidFill>
                <a:schemeClr val="bg1"/>
              </a:solidFill>
            </a:rPr>
            <a:t>L</a:t>
          </a:r>
          <a:r>
            <a:rPr kumimoji="1" lang="ja-JP" altLang="en-US" sz="1100">
              <a:solidFill>
                <a:schemeClr val="bg1"/>
              </a:solidFill>
            </a:rPr>
            <a:t>割れで</a:t>
          </a:r>
          <a:r>
            <a:rPr kumimoji="1" lang="en-US" altLang="ja-JP" sz="1100">
              <a:solidFill>
                <a:schemeClr val="bg1"/>
              </a:solidFill>
            </a:rPr>
            <a:t>entry</a:t>
          </a:r>
          <a:r>
            <a:rPr kumimoji="1" lang="ja-JP" altLang="en-US" sz="1100">
              <a:solidFill>
                <a:schemeClr val="bg1"/>
              </a:solidFill>
            </a:rPr>
            <a:t>。</a:t>
          </a:r>
          <a:endParaRPr kumimoji="1" lang="en-US" altLang="ja-JP" sz="1100">
            <a:solidFill>
              <a:schemeClr val="bg1"/>
            </a:solidFill>
          </a:endParaRPr>
        </a:p>
        <a:p>
          <a:r>
            <a:rPr kumimoji="1" lang="en-US" altLang="ja-JP" sz="1100" u="sng">
              <a:solidFill>
                <a:schemeClr val="bg1"/>
              </a:solidFill>
            </a:rPr>
            <a:t>8.20/17:17</a:t>
          </a:r>
          <a:r>
            <a:rPr kumimoji="1" lang="ja-JP" altLang="en-US" sz="1100" u="sng">
              <a:solidFill>
                <a:schemeClr val="bg1"/>
              </a:solidFill>
            </a:rPr>
            <a:t>（</a:t>
          </a:r>
          <a:r>
            <a:rPr kumimoji="1" lang="en-US" altLang="ja-JP" sz="1100" u="sng">
              <a:solidFill>
                <a:schemeClr val="bg1"/>
              </a:solidFill>
            </a:rPr>
            <a:t>GMT)</a:t>
          </a:r>
          <a:r>
            <a:rPr kumimoji="1" lang="ja-JP" altLang="en-US" sz="1100" u="sng">
              <a:solidFill>
                <a:schemeClr val="bg1"/>
              </a:solidFill>
            </a:rPr>
            <a:t>　</a:t>
          </a:r>
          <a:r>
            <a:rPr kumimoji="1" lang="en-US" altLang="ja-JP" sz="1100" u="sng">
              <a:solidFill>
                <a:schemeClr val="bg1"/>
              </a:solidFill>
            </a:rPr>
            <a:t>123.778</a:t>
          </a:r>
          <a:r>
            <a:rPr kumimoji="1" lang="ja-JP" altLang="en-US" sz="1100" u="sng">
              <a:solidFill>
                <a:schemeClr val="bg1"/>
              </a:solidFill>
            </a:rPr>
            <a:t>　（</a:t>
          </a:r>
          <a:r>
            <a:rPr kumimoji="1" lang="en-US" altLang="ja-JP" sz="1100" u="sng">
              <a:solidFill>
                <a:schemeClr val="bg1"/>
              </a:solidFill>
            </a:rPr>
            <a:t>SP</a:t>
          </a:r>
          <a:r>
            <a:rPr kumimoji="1" lang="ja-JP" altLang="en-US" sz="1100" u="sng">
              <a:solidFill>
                <a:schemeClr val="bg1"/>
              </a:solidFill>
            </a:rPr>
            <a:t>考慮）</a:t>
          </a:r>
          <a:endParaRPr kumimoji="1" lang="en-US" altLang="ja-JP" sz="1100" u="sng">
            <a:solidFill>
              <a:schemeClr val="bg1"/>
            </a:solidFill>
          </a:endParaRPr>
        </a:p>
        <a:p>
          <a:endParaRPr kumimoji="1" lang="en-US" altLang="ja-JP" sz="1100">
            <a:solidFill>
              <a:schemeClr val="bg1"/>
            </a:solidFill>
          </a:endParaRPr>
        </a:p>
        <a:p>
          <a:r>
            <a:rPr kumimoji="1" lang="en-US" altLang="ja-JP" sz="1100">
              <a:solidFill>
                <a:schemeClr val="bg1"/>
              </a:solidFill>
            </a:rPr>
            <a:t>Target</a:t>
          </a:r>
          <a:r>
            <a:rPr kumimoji="1" lang="ja-JP" altLang="en-US" sz="1100">
              <a:solidFill>
                <a:schemeClr val="bg1"/>
              </a:solidFill>
            </a:rPr>
            <a:t>：</a:t>
          </a:r>
          <a:r>
            <a:rPr kumimoji="1" lang="en-US" altLang="ja-JP" sz="1100">
              <a:solidFill>
                <a:schemeClr val="bg1"/>
              </a:solidFill>
            </a:rPr>
            <a:t>UpChannel</a:t>
          </a:r>
          <a:r>
            <a:rPr kumimoji="1" lang="ja-JP" altLang="en-US" sz="1100">
              <a:solidFill>
                <a:schemeClr val="bg1"/>
              </a:solidFill>
            </a:rPr>
            <a:t>下辺付近。順行した場合は、</a:t>
          </a:r>
          <a:r>
            <a:rPr kumimoji="1" lang="en-US" altLang="ja-JP" sz="1100">
              <a:solidFill>
                <a:schemeClr val="bg1"/>
              </a:solidFill>
            </a:rPr>
            <a:t>Major</a:t>
          </a:r>
          <a:r>
            <a:rPr kumimoji="1" lang="ja-JP" altLang="en-US" sz="1100">
              <a:solidFill>
                <a:schemeClr val="bg1"/>
              </a:solidFill>
            </a:rPr>
            <a:t>な</a:t>
          </a:r>
          <a:r>
            <a:rPr kumimoji="1" lang="en-US" altLang="ja-JP" sz="1100">
              <a:solidFill>
                <a:schemeClr val="bg1"/>
              </a:solidFill>
            </a:rPr>
            <a:t>support</a:t>
          </a:r>
          <a:r>
            <a:rPr kumimoji="1" lang="ja-JP" altLang="en-US" sz="1100">
              <a:solidFill>
                <a:schemeClr val="bg1"/>
              </a:solidFill>
            </a:rPr>
            <a:t>→</a:t>
          </a:r>
          <a:r>
            <a:rPr kumimoji="1" lang="en-US" altLang="ja-JP" sz="1100">
              <a:solidFill>
                <a:schemeClr val="bg1"/>
              </a:solidFill>
            </a:rPr>
            <a:t>122.055</a:t>
          </a:r>
          <a:r>
            <a:rPr kumimoji="1" lang="ja-JP" altLang="en-US" sz="1100">
              <a:solidFill>
                <a:schemeClr val="bg1"/>
              </a:solidFill>
            </a:rPr>
            <a:t>で</a:t>
          </a:r>
          <a:r>
            <a:rPr kumimoji="1" lang="en-US" altLang="ja-JP" sz="1100">
              <a:solidFill>
                <a:schemeClr val="bg1"/>
              </a:solidFill>
            </a:rPr>
            <a:t>Limit</a:t>
          </a:r>
          <a:r>
            <a:rPr kumimoji="1" lang="ja-JP" altLang="en-US" sz="1100">
              <a:solidFill>
                <a:schemeClr val="bg1"/>
              </a:solidFill>
            </a:rPr>
            <a:t>に設定するつもりで</a:t>
          </a:r>
          <a:r>
            <a:rPr kumimoji="1" lang="en-US" altLang="ja-JP" sz="1100">
              <a:solidFill>
                <a:schemeClr val="bg1"/>
              </a:solidFill>
            </a:rPr>
            <a:t>LC</a:t>
          </a:r>
          <a:r>
            <a:rPr kumimoji="1" lang="ja-JP" altLang="en-US" sz="1100">
              <a:solidFill>
                <a:schemeClr val="bg1"/>
              </a:solidFill>
            </a:rPr>
            <a:t>を</a:t>
          </a:r>
          <a:r>
            <a:rPr kumimoji="1" lang="en-US" altLang="ja-JP" sz="1100">
              <a:solidFill>
                <a:schemeClr val="bg1"/>
              </a:solidFill>
            </a:rPr>
            <a:t>Trail</a:t>
          </a:r>
          <a:r>
            <a:rPr kumimoji="1" lang="ja-JP" altLang="en-US" sz="1100">
              <a:solidFill>
                <a:schemeClr val="bg1"/>
              </a:solidFill>
            </a:rPr>
            <a:t>の予定。</a:t>
          </a:r>
          <a:endParaRPr kumimoji="1" lang="en-US" altLang="ja-JP" sz="1100">
            <a:solidFill>
              <a:schemeClr val="bg1"/>
            </a:solidFill>
          </a:endParaRPr>
        </a:p>
        <a:p>
          <a:r>
            <a:rPr kumimoji="1" lang="en-US" altLang="ja-JP" sz="1100">
              <a:solidFill>
                <a:schemeClr val="bg1"/>
              </a:solidFill>
            </a:rPr>
            <a:t>entry</a:t>
          </a:r>
          <a:r>
            <a:rPr kumimoji="1" lang="ja-JP" altLang="en-US" sz="1100">
              <a:solidFill>
                <a:schemeClr val="bg1"/>
              </a:solidFill>
            </a:rPr>
            <a:t>の</a:t>
          </a:r>
          <a:r>
            <a:rPr kumimoji="1" lang="en-US" altLang="ja-JP" sz="1100">
              <a:solidFill>
                <a:schemeClr val="bg1"/>
              </a:solidFill>
            </a:rPr>
            <a:t>5</a:t>
          </a:r>
          <a:r>
            <a:rPr kumimoji="1" lang="ja-JP" altLang="en-US" sz="1100">
              <a:solidFill>
                <a:schemeClr val="bg1"/>
              </a:solidFill>
            </a:rPr>
            <a:t>本前の</a:t>
          </a:r>
          <a:r>
            <a:rPr kumimoji="1" lang="en-US" altLang="ja-JP" sz="1100">
              <a:solidFill>
                <a:schemeClr val="bg1"/>
              </a:solidFill>
            </a:rPr>
            <a:t>candle</a:t>
          </a:r>
          <a:r>
            <a:rPr kumimoji="1" lang="ja-JP" altLang="en-US" sz="1100">
              <a:solidFill>
                <a:schemeClr val="bg1"/>
              </a:solidFill>
            </a:rPr>
            <a:t>が</a:t>
          </a:r>
          <a:r>
            <a:rPr kumimoji="1" lang="en-US" altLang="ja-JP" sz="1100">
              <a:solidFill>
                <a:schemeClr val="bg1"/>
              </a:solidFill>
            </a:rPr>
            <a:t>EB</a:t>
          </a:r>
          <a:r>
            <a:rPr kumimoji="1" lang="ja-JP" altLang="en-US" sz="1100">
              <a:solidFill>
                <a:schemeClr val="bg1"/>
              </a:solidFill>
            </a:rPr>
            <a:t>になっているが、これは見逃した。</a:t>
          </a:r>
        </a:p>
      </xdr:txBody>
    </xdr:sp>
    <xdr:clientData/>
  </xdr:oneCellAnchor>
  <xdr:twoCellAnchor>
    <xdr:from>
      <xdr:col>35</xdr:col>
      <xdr:colOff>619125</xdr:colOff>
      <xdr:row>55</xdr:row>
      <xdr:rowOff>104775</xdr:rowOff>
    </xdr:from>
    <xdr:to>
      <xdr:col>36</xdr:col>
      <xdr:colOff>400050</xdr:colOff>
      <xdr:row>58</xdr:row>
      <xdr:rowOff>38100</xdr:rowOff>
    </xdr:to>
    <xdr:cxnSp macro="">
      <xdr:nvCxnSpPr>
        <xdr:cNvPr id="21" name="直線矢印コネクタ 20"/>
        <xdr:cNvCxnSpPr/>
      </xdr:nvCxnSpPr>
      <xdr:spPr>
        <a:xfrm flipH="1">
          <a:off x="24622125" y="9534525"/>
          <a:ext cx="466725" cy="447675"/>
        </a:xfrm>
        <a:prstGeom prst="straightConnector1">
          <a:avLst/>
        </a:prstGeom>
        <a:ln w="1905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34</xdr:col>
      <xdr:colOff>457201</xdr:colOff>
      <xdr:row>69</xdr:row>
      <xdr:rowOff>114300</xdr:rowOff>
    </xdr:from>
    <xdr:ext cx="2959894" cy="2209799"/>
    <xdr:sp macro="" textlink="">
      <xdr:nvSpPr>
        <xdr:cNvPr id="25" name="テキスト ボックス 24"/>
        <xdr:cNvSpPr txBox="1"/>
      </xdr:nvSpPr>
      <xdr:spPr>
        <a:xfrm>
          <a:off x="23774401" y="11944350"/>
          <a:ext cx="2959894" cy="2209799"/>
        </a:xfrm>
        <a:prstGeom prst="rect">
          <a:avLst/>
        </a:prstGeom>
        <a:solidFill>
          <a:schemeClr val="accent1"/>
        </a:solidFill>
        <a:ln w="19050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kumimoji="1" lang="ja-JP" altLang="en-US" sz="1100">
              <a:solidFill>
                <a:schemeClr val="bg1"/>
              </a:solidFill>
            </a:rPr>
            <a:t>途中</a:t>
          </a:r>
          <a:r>
            <a:rPr kumimoji="1" lang="en-US" altLang="ja-JP" sz="1100">
              <a:solidFill>
                <a:schemeClr val="bg1"/>
              </a:solidFill>
            </a:rPr>
            <a:t>H4</a:t>
          </a:r>
          <a:r>
            <a:rPr kumimoji="1" lang="ja-JP" altLang="en-US" sz="1100">
              <a:solidFill>
                <a:schemeClr val="bg1"/>
              </a:solidFill>
            </a:rPr>
            <a:t>も見ながら主に</a:t>
          </a:r>
          <a:r>
            <a:rPr kumimoji="1" lang="en-US" altLang="ja-JP" sz="1100">
              <a:solidFill>
                <a:schemeClr val="bg1"/>
              </a:solidFill>
            </a:rPr>
            <a:t>H1 </a:t>
          </a:r>
          <a:r>
            <a:rPr kumimoji="1" lang="ja-JP" altLang="en-US" sz="1100">
              <a:solidFill>
                <a:schemeClr val="bg1"/>
              </a:solidFill>
            </a:rPr>
            <a:t>の節目（</a:t>
          </a:r>
          <a:r>
            <a:rPr kumimoji="1" lang="en-US" altLang="ja-JP" sz="1100">
              <a:solidFill>
                <a:schemeClr val="bg1"/>
              </a:solidFill>
            </a:rPr>
            <a:t>EB</a:t>
          </a:r>
          <a:r>
            <a:rPr kumimoji="1" lang="ja-JP" altLang="en-US" sz="1100">
              <a:solidFill>
                <a:schemeClr val="bg1"/>
              </a:solidFill>
            </a:rPr>
            <a:t>、</a:t>
          </a:r>
          <a:r>
            <a:rPr kumimoji="1" lang="en-US" altLang="ja-JP" sz="1100">
              <a:solidFill>
                <a:schemeClr val="bg1"/>
              </a:solidFill>
            </a:rPr>
            <a:t>Dow</a:t>
          </a:r>
          <a:r>
            <a:rPr kumimoji="1" lang="ja-JP" altLang="en-US" sz="1100">
              <a:solidFill>
                <a:schemeClr val="bg1"/>
              </a:solidFill>
            </a:rPr>
            <a:t>等を使って）</a:t>
          </a:r>
          <a:r>
            <a:rPr kumimoji="1" lang="en-US" altLang="ja-JP" sz="1100">
              <a:solidFill>
                <a:schemeClr val="bg1"/>
              </a:solidFill>
            </a:rPr>
            <a:t>LC</a:t>
          </a:r>
          <a:r>
            <a:rPr kumimoji="1" lang="ja-JP" altLang="en-US" sz="1100">
              <a:solidFill>
                <a:schemeClr val="bg1"/>
              </a:solidFill>
            </a:rPr>
            <a:t>を</a:t>
          </a:r>
          <a:r>
            <a:rPr kumimoji="1" lang="en-US" altLang="ja-JP" sz="1100">
              <a:solidFill>
                <a:schemeClr val="bg1"/>
              </a:solidFill>
            </a:rPr>
            <a:t>trail</a:t>
          </a:r>
          <a:r>
            <a:rPr kumimoji="1" lang="ja-JP" altLang="en-US" sz="1100">
              <a:solidFill>
                <a:schemeClr val="bg1"/>
              </a:solidFill>
            </a:rPr>
            <a:t>していき、</a:t>
          </a:r>
          <a:r>
            <a:rPr kumimoji="1" lang="en-US" altLang="ja-JP" sz="1100">
              <a:solidFill>
                <a:schemeClr val="bg1"/>
              </a:solidFill>
            </a:rPr>
            <a:t>8.21</a:t>
          </a:r>
          <a:r>
            <a:rPr kumimoji="1" lang="ja-JP" altLang="en-US" sz="1100">
              <a:solidFill>
                <a:schemeClr val="bg1"/>
              </a:solidFill>
            </a:rPr>
            <a:t>夜寝る前（</a:t>
          </a:r>
          <a:r>
            <a:rPr kumimoji="1" lang="en-US" altLang="ja-JP" sz="1100">
              <a:solidFill>
                <a:schemeClr val="bg1"/>
              </a:solidFill>
            </a:rPr>
            <a:t>JST)</a:t>
          </a:r>
          <a:r>
            <a:rPr kumimoji="1" lang="ja-JP" altLang="en-US" sz="1100">
              <a:solidFill>
                <a:schemeClr val="bg1"/>
              </a:solidFill>
            </a:rPr>
            <a:t>に</a:t>
          </a:r>
          <a:r>
            <a:rPr kumimoji="1" lang="en-US" altLang="ja-JP" sz="1100">
              <a:solidFill>
                <a:schemeClr val="bg1"/>
              </a:solidFill>
            </a:rPr>
            <a:t>Limit</a:t>
          </a:r>
          <a:r>
            <a:rPr kumimoji="1" lang="ja-JP" altLang="en-US" sz="1100">
              <a:solidFill>
                <a:schemeClr val="bg1"/>
              </a:solidFill>
            </a:rPr>
            <a:t>を</a:t>
          </a:r>
          <a:r>
            <a:rPr kumimoji="1" lang="en-US" altLang="ja-JP" sz="1100">
              <a:solidFill>
                <a:schemeClr val="bg1"/>
              </a:solidFill>
            </a:rPr>
            <a:t>Target</a:t>
          </a:r>
          <a:r>
            <a:rPr kumimoji="1" lang="ja-JP" altLang="en-US" sz="1100">
              <a:solidFill>
                <a:schemeClr val="bg1"/>
              </a:solidFill>
            </a:rPr>
            <a:t>→</a:t>
          </a:r>
          <a:r>
            <a:rPr kumimoji="1" lang="en-US" altLang="ja-JP" sz="1100">
              <a:solidFill>
                <a:schemeClr val="bg1"/>
              </a:solidFill>
            </a:rPr>
            <a:t>122.055</a:t>
          </a:r>
          <a:r>
            <a:rPr kumimoji="1" lang="ja-JP" altLang="en-US" sz="1100">
              <a:solidFill>
                <a:schemeClr val="bg1"/>
              </a:solidFill>
            </a:rPr>
            <a:t>に設定。</a:t>
          </a:r>
          <a:endParaRPr kumimoji="1" lang="en-US" altLang="ja-JP" sz="1100">
            <a:solidFill>
              <a:schemeClr val="bg1"/>
            </a:solidFill>
          </a:endParaRPr>
        </a:p>
        <a:p>
          <a:r>
            <a:rPr kumimoji="1" lang="ja-JP" altLang="en-US" sz="1100">
              <a:solidFill>
                <a:schemeClr val="bg1"/>
              </a:solidFill>
            </a:rPr>
            <a:t>寝ている間に</a:t>
          </a:r>
          <a:r>
            <a:rPr kumimoji="1" lang="en-US" altLang="ja-JP" sz="1100">
              <a:solidFill>
                <a:schemeClr val="bg1"/>
              </a:solidFill>
            </a:rPr>
            <a:t>Target</a:t>
          </a:r>
          <a:r>
            <a:rPr kumimoji="1" lang="ja-JP" altLang="en-US" sz="1100">
              <a:solidFill>
                <a:schemeClr val="bg1"/>
              </a:solidFill>
            </a:rPr>
            <a:t>に</a:t>
          </a:r>
          <a:r>
            <a:rPr kumimoji="1" lang="en-US" altLang="ja-JP" sz="1100">
              <a:solidFill>
                <a:schemeClr val="bg1"/>
              </a:solidFill>
            </a:rPr>
            <a:t>touch</a:t>
          </a:r>
          <a:r>
            <a:rPr kumimoji="1" lang="ja-JP" altLang="en-US" sz="1100">
              <a:solidFill>
                <a:schemeClr val="bg1"/>
              </a:solidFill>
            </a:rPr>
            <a:t>で</a:t>
          </a:r>
          <a:r>
            <a:rPr kumimoji="1" lang="en-US" altLang="ja-JP" sz="1100">
              <a:solidFill>
                <a:schemeClr val="bg1"/>
              </a:solidFill>
            </a:rPr>
            <a:t>exit</a:t>
          </a:r>
        </a:p>
        <a:p>
          <a:r>
            <a:rPr kumimoji="1" lang="en-US" altLang="ja-JP" sz="1100" u="sng">
              <a:solidFill>
                <a:schemeClr val="bg1"/>
              </a:solidFill>
            </a:rPr>
            <a:t>8.22/0:35</a:t>
          </a:r>
          <a:r>
            <a:rPr kumimoji="1" lang="ja-JP" altLang="en-US" sz="1100" u="sng">
              <a:solidFill>
                <a:schemeClr val="bg1"/>
              </a:solidFill>
            </a:rPr>
            <a:t>（</a:t>
          </a:r>
          <a:r>
            <a:rPr kumimoji="1" lang="en-US" altLang="ja-JP" sz="1100" u="sng">
              <a:solidFill>
                <a:schemeClr val="bg1"/>
              </a:solidFill>
            </a:rPr>
            <a:t>GMT)</a:t>
          </a:r>
          <a:r>
            <a:rPr kumimoji="1" lang="ja-JP" altLang="en-US" sz="1100" u="sng">
              <a:solidFill>
                <a:schemeClr val="bg1"/>
              </a:solidFill>
            </a:rPr>
            <a:t>　</a:t>
          </a:r>
          <a:r>
            <a:rPr kumimoji="1" lang="en-US" altLang="ja-JP" sz="1100" u="sng">
              <a:solidFill>
                <a:schemeClr val="bg1"/>
              </a:solidFill>
            </a:rPr>
            <a:t>122.054</a:t>
          </a:r>
          <a:r>
            <a:rPr kumimoji="1" lang="ja-JP" altLang="en-US" sz="1100" u="sng">
              <a:solidFill>
                <a:schemeClr val="bg1"/>
              </a:solidFill>
            </a:rPr>
            <a:t>　</a:t>
          </a:r>
          <a:r>
            <a:rPr kumimoji="1" lang="en-US" altLang="ja-JP" sz="1100" u="sng">
              <a:solidFill>
                <a:schemeClr val="bg1"/>
              </a:solidFill>
            </a:rPr>
            <a:t>+172.4pips</a:t>
          </a:r>
        </a:p>
        <a:p>
          <a:endParaRPr kumimoji="1" lang="en-US" altLang="ja-JP" sz="1100" u="none">
            <a:solidFill>
              <a:schemeClr val="bg1"/>
            </a:solidFill>
          </a:endParaRPr>
        </a:p>
        <a:p>
          <a:r>
            <a:rPr kumimoji="1" lang="ja-JP" altLang="en-US" sz="1100" u="none">
              <a:solidFill>
                <a:schemeClr val="bg1"/>
              </a:solidFill>
            </a:rPr>
            <a:t>直近の下落幅の</a:t>
          </a:r>
          <a:r>
            <a:rPr kumimoji="1" lang="en-US" altLang="ja-JP" sz="1100" u="none">
              <a:solidFill>
                <a:schemeClr val="bg1"/>
              </a:solidFill>
            </a:rPr>
            <a:t>FIB</a:t>
          </a:r>
          <a:r>
            <a:rPr kumimoji="1" lang="ja-JP" altLang="en-US" sz="1100" u="none">
              <a:solidFill>
                <a:schemeClr val="bg1"/>
              </a:solidFill>
            </a:rPr>
            <a:t>利用（</a:t>
          </a:r>
          <a:r>
            <a:rPr kumimoji="1" lang="en-US" altLang="ja-JP" sz="1100" u="none">
              <a:solidFill>
                <a:schemeClr val="bg1"/>
              </a:solidFill>
            </a:rPr>
            <a:t>H4)</a:t>
          </a:r>
          <a:r>
            <a:rPr kumimoji="1" lang="ja-JP" altLang="en-US" sz="1100" u="none">
              <a:solidFill>
                <a:schemeClr val="bg1"/>
              </a:solidFill>
            </a:rPr>
            <a:t>で、</a:t>
          </a:r>
          <a:r>
            <a:rPr kumimoji="1" lang="en-US" altLang="ja-JP" sz="1100" u="none">
              <a:solidFill>
                <a:schemeClr val="bg1"/>
              </a:solidFill>
            </a:rPr>
            <a:t>Channel</a:t>
          </a:r>
          <a:r>
            <a:rPr kumimoji="1" lang="ja-JP" altLang="en-US" sz="1100" u="none">
              <a:solidFill>
                <a:schemeClr val="bg1"/>
              </a:solidFill>
            </a:rPr>
            <a:t>内の動き</a:t>
          </a:r>
          <a:r>
            <a:rPr kumimoji="1" lang="en-US" altLang="ja-JP" sz="1100" u="none">
              <a:solidFill>
                <a:schemeClr val="bg1"/>
              </a:solidFill>
            </a:rPr>
            <a:t>or</a:t>
          </a:r>
          <a:r>
            <a:rPr kumimoji="1" lang="ja-JP" altLang="en-US" sz="1100" u="none">
              <a:solidFill>
                <a:schemeClr val="bg1"/>
              </a:solidFill>
            </a:rPr>
            <a:t>再度の</a:t>
          </a:r>
          <a:r>
            <a:rPr kumimoji="1" lang="en-US" altLang="ja-JP" sz="1100" u="none">
              <a:solidFill>
                <a:schemeClr val="bg1"/>
              </a:solidFill>
            </a:rPr>
            <a:t>down</a:t>
          </a:r>
          <a:r>
            <a:rPr kumimoji="1" lang="ja-JP" altLang="en-US" sz="1100" u="none">
              <a:solidFill>
                <a:schemeClr val="bg1"/>
              </a:solidFill>
            </a:rPr>
            <a:t>を見極めて</a:t>
          </a:r>
          <a:r>
            <a:rPr kumimoji="1" lang="en-US" altLang="ja-JP" sz="1100" u="none">
              <a:solidFill>
                <a:schemeClr val="bg1"/>
              </a:solidFill>
            </a:rPr>
            <a:t>Trade</a:t>
          </a:r>
          <a:r>
            <a:rPr kumimoji="1" lang="ja-JP" altLang="en-US" sz="1100" u="none">
              <a:solidFill>
                <a:schemeClr val="bg1"/>
              </a:solidFill>
            </a:rPr>
            <a:t>する。</a:t>
          </a:r>
          <a:endParaRPr kumimoji="1" lang="en-US" altLang="ja-JP" sz="1100" u="none">
            <a:solidFill>
              <a:schemeClr val="bg1"/>
            </a:solidFill>
          </a:endParaRPr>
        </a:p>
        <a:p>
          <a:r>
            <a:rPr kumimoji="1" lang="en-US" altLang="ja-JP" sz="1100" u="none">
              <a:solidFill>
                <a:schemeClr val="bg1"/>
              </a:solidFill>
            </a:rPr>
            <a:t>down</a:t>
          </a:r>
          <a:r>
            <a:rPr kumimoji="1" lang="ja-JP" altLang="en-US" sz="1100" u="none">
              <a:solidFill>
                <a:schemeClr val="bg1"/>
              </a:solidFill>
            </a:rPr>
            <a:t>の場合は</a:t>
          </a:r>
          <a:endParaRPr kumimoji="1" lang="en-US" altLang="ja-JP" sz="1100" u="none">
            <a:solidFill>
              <a:schemeClr val="bg1"/>
            </a:solidFill>
          </a:endParaRPr>
        </a:p>
        <a:p>
          <a:r>
            <a:rPr kumimoji="1" lang="ja-JP" altLang="en-US" sz="1100" u="none">
              <a:solidFill>
                <a:schemeClr val="bg1"/>
              </a:solidFill>
            </a:rPr>
            <a:t>　</a:t>
          </a:r>
          <a:r>
            <a:rPr kumimoji="1" lang="en-US" altLang="ja-JP" sz="1100" u="none">
              <a:solidFill>
                <a:schemeClr val="bg1"/>
              </a:solidFill>
            </a:rPr>
            <a:t>Target</a:t>
          </a:r>
          <a:r>
            <a:rPr kumimoji="1" lang="ja-JP" altLang="en-US" sz="1100" u="none">
              <a:solidFill>
                <a:schemeClr val="bg1"/>
              </a:solidFill>
            </a:rPr>
            <a:t>：</a:t>
          </a:r>
          <a:r>
            <a:rPr kumimoji="1" lang="en-US" altLang="ja-JP" sz="1100" u="none">
              <a:solidFill>
                <a:schemeClr val="bg1"/>
              </a:solidFill>
            </a:rPr>
            <a:t>FIB-61.8-&gt;119.657</a:t>
          </a:r>
          <a:r>
            <a:rPr kumimoji="1" lang="ja-JP" altLang="en-US" sz="1100" u="none">
              <a:solidFill>
                <a:schemeClr val="bg1"/>
              </a:solidFill>
            </a:rPr>
            <a:t>　若しくは</a:t>
          </a:r>
          <a:endParaRPr kumimoji="1" lang="en-US" altLang="ja-JP" sz="1100" u="none">
            <a:solidFill>
              <a:schemeClr val="bg1"/>
            </a:solidFill>
          </a:endParaRPr>
        </a:p>
        <a:p>
          <a:r>
            <a:rPr kumimoji="1" lang="ja-JP" altLang="en-US" sz="1100" u="none">
              <a:solidFill>
                <a:schemeClr val="bg1"/>
              </a:solidFill>
            </a:rPr>
            <a:t>　　　　　　</a:t>
          </a:r>
          <a:r>
            <a:rPr kumimoji="1" lang="en-US" altLang="ja-JP" sz="1100" u="none">
              <a:solidFill>
                <a:schemeClr val="bg1"/>
              </a:solidFill>
            </a:rPr>
            <a:t>Supp</a:t>
          </a:r>
          <a:r>
            <a:rPr kumimoji="1" lang="ja-JP" altLang="en-US" sz="1100" u="none">
              <a:solidFill>
                <a:schemeClr val="bg1"/>
              </a:solidFill>
            </a:rPr>
            <a:t>→</a:t>
          </a:r>
          <a:r>
            <a:rPr kumimoji="1" lang="en-US" altLang="ja-JP" sz="1100" u="none">
              <a:solidFill>
                <a:schemeClr val="bg1"/>
              </a:solidFill>
            </a:rPr>
            <a:t>120.299</a:t>
          </a:r>
          <a:endParaRPr kumimoji="1" lang="ja-JP" altLang="en-US" sz="1100" u="none">
            <a:solidFill>
              <a:schemeClr val="bg1"/>
            </a:solidFill>
          </a:endParaRPr>
        </a:p>
      </xdr:txBody>
    </xdr:sp>
    <xdr:clientData/>
  </xdr:oneCellAnchor>
  <xdr:oneCellAnchor>
    <xdr:from>
      <xdr:col>17</xdr:col>
      <xdr:colOff>214313</xdr:colOff>
      <xdr:row>47</xdr:row>
      <xdr:rowOff>59531</xdr:rowOff>
    </xdr:from>
    <xdr:ext cx="4024312" cy="1035844"/>
    <xdr:sp macro="" textlink="">
      <xdr:nvSpPr>
        <xdr:cNvPr id="26" name="テキスト ボックス 25"/>
        <xdr:cNvSpPr txBox="1"/>
      </xdr:nvSpPr>
      <xdr:spPr>
        <a:xfrm>
          <a:off x="11953876" y="7893844"/>
          <a:ext cx="4024312" cy="1035844"/>
        </a:xfrm>
        <a:prstGeom prst="rect">
          <a:avLst/>
        </a:prstGeom>
        <a:solidFill>
          <a:schemeClr val="accent1"/>
        </a:solidFill>
        <a:ln w="19050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kumimoji="1" lang="en-US" altLang="ja-JP" sz="1400" b="1" u="sng">
              <a:solidFill>
                <a:schemeClr val="bg1"/>
              </a:solidFill>
            </a:rPr>
            <a:t>TradeNumber : 35</a:t>
          </a:r>
        </a:p>
        <a:p>
          <a:r>
            <a:rPr kumimoji="1" lang="en-US" altLang="ja-JP" sz="1400">
              <a:solidFill>
                <a:schemeClr val="bg1"/>
              </a:solidFill>
            </a:rPr>
            <a:t>JPYUSD</a:t>
          </a:r>
          <a:r>
            <a:rPr kumimoji="1" lang="ja-JP" altLang="en-US" sz="1400">
              <a:solidFill>
                <a:schemeClr val="bg1"/>
              </a:solidFill>
            </a:rPr>
            <a:t>　　</a:t>
          </a:r>
          <a:r>
            <a:rPr kumimoji="1" lang="en-US" altLang="ja-JP" sz="1400">
              <a:solidFill>
                <a:schemeClr val="bg1"/>
              </a:solidFill>
            </a:rPr>
            <a:t>SHORT</a:t>
          </a:r>
        </a:p>
        <a:p>
          <a:r>
            <a:rPr kumimoji="1" lang="ja-JP" altLang="en-US" sz="1400">
              <a:solidFill>
                <a:schemeClr val="bg1"/>
              </a:solidFill>
            </a:rPr>
            <a:t>　</a:t>
          </a:r>
          <a:r>
            <a:rPr kumimoji="1" lang="en-US" altLang="ja-JP" sz="1400">
              <a:solidFill>
                <a:schemeClr val="bg1"/>
              </a:solidFill>
            </a:rPr>
            <a:t>entry</a:t>
          </a:r>
          <a:r>
            <a:rPr kumimoji="1" lang="ja-JP" altLang="en-US" sz="1400">
              <a:solidFill>
                <a:schemeClr val="bg1"/>
              </a:solidFill>
            </a:rPr>
            <a:t>：</a:t>
          </a:r>
          <a:r>
            <a:rPr kumimoji="1" lang="en-US" altLang="ja-JP" sz="1400">
              <a:solidFill>
                <a:schemeClr val="bg1"/>
              </a:solidFill>
            </a:rPr>
            <a:t>15.8.20</a:t>
          </a:r>
          <a:r>
            <a:rPr kumimoji="1" lang="ja-JP" altLang="en-US" sz="1400">
              <a:solidFill>
                <a:schemeClr val="bg1"/>
              </a:solidFill>
            </a:rPr>
            <a:t>　</a:t>
          </a:r>
          <a:r>
            <a:rPr kumimoji="1" lang="en-US" altLang="ja-JP" sz="1400">
              <a:solidFill>
                <a:schemeClr val="bg1"/>
              </a:solidFill>
            </a:rPr>
            <a:t>17:17</a:t>
          </a:r>
          <a:r>
            <a:rPr kumimoji="1" lang="ja-JP" altLang="en-US" sz="1400">
              <a:solidFill>
                <a:schemeClr val="bg1"/>
              </a:solidFill>
            </a:rPr>
            <a:t>　～　</a:t>
          </a:r>
          <a:r>
            <a:rPr kumimoji="1" lang="en-US" altLang="ja-JP" sz="1400">
              <a:solidFill>
                <a:schemeClr val="bg1"/>
              </a:solidFill>
            </a:rPr>
            <a:t>15.8.22</a:t>
          </a:r>
          <a:r>
            <a:rPr kumimoji="1" lang="ja-JP" altLang="en-US" sz="1400">
              <a:solidFill>
                <a:schemeClr val="bg1"/>
              </a:solidFill>
            </a:rPr>
            <a:t>　</a:t>
          </a:r>
          <a:r>
            <a:rPr kumimoji="1" lang="en-US" altLang="ja-JP" sz="1400">
              <a:solidFill>
                <a:schemeClr val="bg1"/>
              </a:solidFill>
            </a:rPr>
            <a:t>0:35</a:t>
          </a:r>
          <a:r>
            <a:rPr kumimoji="1" lang="ja-JP" altLang="en-US" sz="1400">
              <a:solidFill>
                <a:schemeClr val="bg1"/>
              </a:solidFill>
            </a:rPr>
            <a:t>　（</a:t>
          </a:r>
          <a:r>
            <a:rPr kumimoji="1" lang="en-US" altLang="ja-JP" sz="1400">
              <a:solidFill>
                <a:schemeClr val="bg1"/>
              </a:solidFill>
            </a:rPr>
            <a:t>GMT)</a:t>
          </a:r>
          <a:endParaRPr kumimoji="1" lang="ja-JP" altLang="en-US" sz="1400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0</xdr:col>
      <xdr:colOff>0</xdr:colOff>
      <xdr:row>92</xdr:row>
      <xdr:rowOff>0</xdr:rowOff>
    </xdr:from>
    <xdr:to>
      <xdr:col>18</xdr:col>
      <xdr:colOff>666750</xdr:colOff>
      <xdr:row>134</xdr:row>
      <xdr:rowOff>114300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57734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4</xdr:col>
      <xdr:colOff>357188</xdr:colOff>
      <xdr:row>97</xdr:row>
      <xdr:rowOff>142875</xdr:rowOff>
    </xdr:from>
    <xdr:ext cx="4345780" cy="1845468"/>
    <xdr:sp macro="" textlink="">
      <xdr:nvSpPr>
        <xdr:cNvPr id="22" name="テキスト ボックス 21"/>
        <xdr:cNvSpPr txBox="1"/>
      </xdr:nvSpPr>
      <xdr:spPr>
        <a:xfrm>
          <a:off x="3119438" y="16311563"/>
          <a:ext cx="4345780" cy="1845468"/>
        </a:xfrm>
        <a:prstGeom prst="rect">
          <a:avLst/>
        </a:prstGeom>
        <a:solidFill>
          <a:schemeClr val="accent1"/>
        </a:solidFill>
        <a:ln w="19050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kumimoji="1" lang="en-US" altLang="ja-JP" sz="1400" b="1" u="sng">
              <a:solidFill>
                <a:schemeClr val="bg1"/>
              </a:solidFill>
            </a:rPr>
            <a:t>TradeNumber : 36</a:t>
          </a:r>
        </a:p>
        <a:p>
          <a:r>
            <a:rPr kumimoji="1" lang="en-US" altLang="ja-JP" sz="1400">
              <a:solidFill>
                <a:schemeClr val="bg1"/>
              </a:solidFill>
            </a:rPr>
            <a:t>EURAUD</a:t>
          </a:r>
          <a:r>
            <a:rPr kumimoji="1" lang="ja-JP" altLang="en-US" sz="1400">
              <a:solidFill>
                <a:schemeClr val="bg1"/>
              </a:solidFill>
            </a:rPr>
            <a:t>　　</a:t>
          </a:r>
          <a:r>
            <a:rPr kumimoji="1" lang="en-US" altLang="ja-JP" sz="1400">
              <a:solidFill>
                <a:schemeClr val="bg1"/>
              </a:solidFill>
            </a:rPr>
            <a:t>LONG     H4</a:t>
          </a:r>
          <a:r>
            <a:rPr kumimoji="1" lang="ja-JP" altLang="en-US" sz="1400">
              <a:solidFill>
                <a:schemeClr val="bg1"/>
              </a:solidFill>
            </a:rPr>
            <a:t>の</a:t>
          </a:r>
          <a:r>
            <a:rPr kumimoji="1" lang="en-US" altLang="ja-JP" sz="1400">
              <a:solidFill>
                <a:schemeClr val="bg1"/>
              </a:solidFill>
            </a:rPr>
            <a:t>chart</a:t>
          </a:r>
        </a:p>
        <a:p>
          <a:r>
            <a:rPr kumimoji="1" lang="ja-JP" altLang="en-US" sz="1400">
              <a:solidFill>
                <a:schemeClr val="bg1"/>
              </a:solidFill>
            </a:rPr>
            <a:t>*</a:t>
          </a:r>
          <a:r>
            <a:rPr kumimoji="1" lang="en-US" altLang="ja-JP" sz="1400">
              <a:solidFill>
                <a:schemeClr val="bg1"/>
              </a:solidFill>
            </a:rPr>
            <a:t>15.8.20</a:t>
          </a:r>
          <a:r>
            <a:rPr kumimoji="1" lang="ja-JP" altLang="en-US" sz="1400">
              <a:solidFill>
                <a:schemeClr val="bg1"/>
              </a:solidFill>
            </a:rPr>
            <a:t>　</a:t>
          </a:r>
          <a:r>
            <a:rPr kumimoji="1" lang="en-US" altLang="ja-JP" sz="1400">
              <a:solidFill>
                <a:schemeClr val="bg1"/>
              </a:solidFill>
            </a:rPr>
            <a:t>20:00 candle</a:t>
          </a:r>
          <a:r>
            <a:rPr kumimoji="1" lang="ja-JP" altLang="en-US" sz="1400">
              <a:solidFill>
                <a:schemeClr val="bg1"/>
              </a:solidFill>
            </a:rPr>
            <a:t>で</a:t>
          </a:r>
          <a:r>
            <a:rPr kumimoji="1" lang="en-US" altLang="ja-JP" sz="1400">
              <a:solidFill>
                <a:schemeClr val="bg1"/>
              </a:solidFill>
            </a:rPr>
            <a:t>EB</a:t>
          </a:r>
          <a:r>
            <a:rPr kumimoji="1" lang="ja-JP" altLang="en-US" sz="1400">
              <a:solidFill>
                <a:schemeClr val="bg1"/>
              </a:solidFill>
            </a:rPr>
            <a:t>成立→次の足で</a:t>
          </a:r>
          <a:r>
            <a:rPr kumimoji="1" lang="en-US" altLang="ja-JP" sz="1400">
              <a:solidFill>
                <a:schemeClr val="bg1"/>
              </a:solidFill>
            </a:rPr>
            <a:t>entry</a:t>
          </a:r>
          <a:r>
            <a:rPr kumimoji="1" lang="ja-JP" altLang="en-US" sz="1400">
              <a:solidFill>
                <a:schemeClr val="bg1"/>
              </a:solidFill>
            </a:rPr>
            <a:t>　</a:t>
          </a:r>
          <a:endParaRPr kumimoji="1" lang="en-US" altLang="ja-JP" sz="1400">
            <a:solidFill>
              <a:schemeClr val="bg1"/>
            </a:solidFill>
          </a:endParaRPr>
        </a:p>
        <a:p>
          <a:r>
            <a:rPr kumimoji="1" lang="ja-JP" altLang="en-US" sz="1400">
              <a:solidFill>
                <a:schemeClr val="bg1"/>
              </a:solidFill>
            </a:rPr>
            <a:t>　　　　　：</a:t>
          </a:r>
          <a:r>
            <a:rPr kumimoji="1" lang="en-US" altLang="ja-JP" sz="1400">
              <a:solidFill>
                <a:schemeClr val="bg1"/>
              </a:solidFill>
            </a:rPr>
            <a:t>1.53138</a:t>
          </a:r>
        </a:p>
        <a:p>
          <a:r>
            <a:rPr kumimoji="1" lang="ja-JP" altLang="en-US" sz="1400">
              <a:solidFill>
                <a:schemeClr val="bg1"/>
              </a:solidFill>
            </a:rPr>
            <a:t>*</a:t>
          </a:r>
          <a:r>
            <a:rPr kumimoji="1" lang="en-US" altLang="ja-JP" sz="1400">
              <a:solidFill>
                <a:schemeClr val="bg1"/>
              </a:solidFill>
            </a:rPr>
            <a:t>15.8.8.24 11:42  wk</a:t>
          </a:r>
          <a:r>
            <a:rPr kumimoji="1" lang="ja-JP" altLang="en-US" sz="1400">
              <a:solidFill>
                <a:schemeClr val="bg1"/>
              </a:solidFill>
            </a:rPr>
            <a:t>での直近</a:t>
          </a:r>
          <a:r>
            <a:rPr kumimoji="1" lang="en-US" altLang="ja-JP" sz="1400">
              <a:solidFill>
                <a:schemeClr val="bg1"/>
              </a:solidFill>
            </a:rPr>
            <a:t>H</a:t>
          </a:r>
          <a:r>
            <a:rPr kumimoji="1" lang="ja-JP" altLang="en-US" sz="1400">
              <a:solidFill>
                <a:schemeClr val="bg1"/>
              </a:solidFill>
            </a:rPr>
            <a:t>である</a:t>
          </a:r>
          <a:r>
            <a:rPr kumimoji="1" lang="en-US" altLang="ja-JP" sz="1400">
              <a:solidFill>
                <a:schemeClr val="bg1"/>
              </a:solidFill>
            </a:rPr>
            <a:t>1.58300</a:t>
          </a:r>
          <a:r>
            <a:rPr kumimoji="1" lang="ja-JP" altLang="en-US" sz="1400">
              <a:solidFill>
                <a:schemeClr val="bg1"/>
              </a:solidFill>
            </a:rPr>
            <a:t>で指値</a:t>
          </a:r>
          <a:endParaRPr kumimoji="1" lang="en-US" altLang="ja-JP" sz="1400">
            <a:solidFill>
              <a:schemeClr val="bg1"/>
            </a:solidFill>
          </a:endParaRPr>
        </a:p>
        <a:p>
          <a:r>
            <a:rPr kumimoji="1" lang="ja-JP" altLang="en-US" sz="1400">
              <a:solidFill>
                <a:schemeClr val="bg1"/>
              </a:solidFill>
            </a:rPr>
            <a:t>　　　　　</a:t>
          </a:r>
          <a:r>
            <a:rPr kumimoji="1" lang="en-US" altLang="ja-JP" sz="1400">
              <a:solidFill>
                <a:schemeClr val="bg1"/>
              </a:solidFill>
            </a:rPr>
            <a:t>:1.58312</a:t>
          </a:r>
          <a:r>
            <a:rPr kumimoji="1" lang="ja-JP" altLang="en-US" sz="1400">
              <a:solidFill>
                <a:schemeClr val="bg1"/>
              </a:solidFill>
            </a:rPr>
            <a:t>　（</a:t>
          </a:r>
          <a:r>
            <a:rPr kumimoji="1" lang="en-US" altLang="ja-JP" sz="1400">
              <a:solidFill>
                <a:schemeClr val="bg1"/>
              </a:solidFill>
            </a:rPr>
            <a:t>LC</a:t>
          </a:r>
          <a:r>
            <a:rPr kumimoji="1" lang="ja-JP" altLang="en-US" sz="1400">
              <a:solidFill>
                <a:schemeClr val="bg1"/>
              </a:solidFill>
            </a:rPr>
            <a:t>の</a:t>
          </a:r>
          <a:r>
            <a:rPr kumimoji="1" lang="en-US" altLang="ja-JP" sz="1400">
              <a:solidFill>
                <a:schemeClr val="bg1"/>
              </a:solidFill>
            </a:rPr>
            <a:t>trail</a:t>
          </a:r>
          <a:r>
            <a:rPr kumimoji="1" lang="ja-JP" altLang="en-US" sz="1400">
              <a:solidFill>
                <a:schemeClr val="bg1"/>
              </a:solidFill>
            </a:rPr>
            <a:t>に関しては</a:t>
          </a:r>
          <a:r>
            <a:rPr kumimoji="1" lang="en-US" altLang="ja-JP" sz="1400">
              <a:solidFill>
                <a:schemeClr val="bg1"/>
              </a:solidFill>
            </a:rPr>
            <a:t>H1</a:t>
          </a:r>
          <a:r>
            <a:rPr kumimoji="1" lang="ja-JP" altLang="en-US" sz="1400">
              <a:solidFill>
                <a:schemeClr val="bg1"/>
              </a:solidFill>
            </a:rPr>
            <a:t>も利用した）</a:t>
          </a:r>
          <a:endParaRPr kumimoji="1" lang="en-US" altLang="ja-JP" sz="1400">
            <a:solidFill>
              <a:schemeClr val="bg1"/>
            </a:solidFill>
          </a:endParaRPr>
        </a:p>
        <a:p>
          <a:r>
            <a:rPr kumimoji="1" lang="ja-JP" altLang="en-US" sz="1400">
              <a:solidFill>
                <a:schemeClr val="bg1"/>
              </a:solidFill>
            </a:rPr>
            <a:t>*</a:t>
          </a:r>
          <a:r>
            <a:rPr kumimoji="1" lang="en-US" altLang="ja-JP" sz="1400">
              <a:solidFill>
                <a:schemeClr val="bg1"/>
              </a:solidFill>
            </a:rPr>
            <a:t>+517.4pips</a:t>
          </a:r>
          <a:r>
            <a:rPr kumimoji="1" lang="ja-JP" altLang="en-US" sz="1400">
              <a:solidFill>
                <a:schemeClr val="bg1"/>
              </a:solidFill>
            </a:rPr>
            <a:t>　</a:t>
          </a:r>
          <a:r>
            <a:rPr kumimoji="1" lang="en-US" altLang="ja-JP" sz="1400">
              <a:solidFill>
                <a:schemeClr val="bg1"/>
              </a:solidFill>
            </a:rPr>
            <a:t>Trade31,32</a:t>
          </a:r>
          <a:r>
            <a:rPr kumimoji="1" lang="ja-JP" altLang="en-US" sz="1400">
              <a:solidFill>
                <a:schemeClr val="bg1"/>
              </a:solidFill>
            </a:rPr>
            <a:t>に続いて同通貨・同方向で</a:t>
          </a:r>
          <a:r>
            <a:rPr kumimoji="1" lang="en-US" altLang="ja-JP" sz="1400">
              <a:solidFill>
                <a:schemeClr val="bg1"/>
              </a:solidFill>
            </a:rPr>
            <a:t>WIn</a:t>
          </a:r>
          <a:endParaRPr kumimoji="1" lang="ja-JP" altLang="en-US" sz="1400">
            <a:solidFill>
              <a:schemeClr val="bg1"/>
            </a:solidFill>
          </a:endParaRPr>
        </a:p>
      </xdr:txBody>
    </xdr:sp>
    <xdr:clientData/>
  </xdr:oneCellAnchor>
  <xdr:twoCellAnchor>
    <xdr:from>
      <xdr:col>13</xdr:col>
      <xdr:colOff>476250</xdr:colOff>
      <xdr:row>109</xdr:row>
      <xdr:rowOff>-1</xdr:rowOff>
    </xdr:from>
    <xdr:to>
      <xdr:col>14</xdr:col>
      <xdr:colOff>59532</xdr:colOff>
      <xdr:row>111</xdr:row>
      <xdr:rowOff>59531</xdr:rowOff>
    </xdr:to>
    <xdr:sp macro="" textlink="">
      <xdr:nvSpPr>
        <xdr:cNvPr id="23" name="円/楕円 22"/>
        <xdr:cNvSpPr/>
      </xdr:nvSpPr>
      <xdr:spPr>
        <a:xfrm>
          <a:off x="9453563" y="18168937"/>
          <a:ext cx="273844" cy="392907"/>
        </a:xfrm>
        <a:prstGeom prst="ellipse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10</xdr:col>
      <xdr:colOff>559594</xdr:colOff>
      <xdr:row>105</xdr:row>
      <xdr:rowOff>119062</xdr:rowOff>
    </xdr:from>
    <xdr:to>
      <xdr:col>13</xdr:col>
      <xdr:colOff>440531</xdr:colOff>
      <xdr:row>109</xdr:row>
      <xdr:rowOff>23812</xdr:rowOff>
    </xdr:to>
    <xdr:cxnSp macro="">
      <xdr:nvCxnSpPr>
        <xdr:cNvPr id="24" name="直線矢印コネクタ 23"/>
        <xdr:cNvCxnSpPr/>
      </xdr:nvCxnSpPr>
      <xdr:spPr>
        <a:xfrm>
          <a:off x="7465219" y="17621250"/>
          <a:ext cx="1952625" cy="571500"/>
        </a:xfrm>
        <a:prstGeom prst="straightConnector1">
          <a:avLst/>
        </a:prstGeom>
        <a:ln w="1905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521494</xdr:colOff>
      <xdr:row>100</xdr:row>
      <xdr:rowOff>130969</xdr:rowOff>
    </xdr:from>
    <xdr:to>
      <xdr:col>14</xdr:col>
      <xdr:colOff>476250</xdr:colOff>
      <xdr:row>102</xdr:row>
      <xdr:rowOff>116681</xdr:rowOff>
    </xdr:to>
    <xdr:cxnSp macro="">
      <xdr:nvCxnSpPr>
        <xdr:cNvPr id="30" name="直線矢印コネクタ 29"/>
        <xdr:cNvCxnSpPr/>
      </xdr:nvCxnSpPr>
      <xdr:spPr>
        <a:xfrm flipV="1">
          <a:off x="7427119" y="16799719"/>
          <a:ext cx="2717006" cy="319087"/>
        </a:xfrm>
        <a:prstGeom prst="straightConnector1">
          <a:avLst/>
        </a:prstGeom>
        <a:ln w="1905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137</xdr:row>
      <xdr:rowOff>0</xdr:rowOff>
    </xdr:from>
    <xdr:to>
      <xdr:col>18</xdr:col>
      <xdr:colOff>666750</xdr:colOff>
      <xdr:row>179</xdr:row>
      <xdr:rowOff>114300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2836188"/>
          <a:ext cx="13096875" cy="7115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39</xdr:col>
      <xdr:colOff>666750</xdr:colOff>
      <xdr:row>179</xdr:row>
      <xdr:rowOff>114300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401800" y="2348865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3</xdr:col>
      <xdr:colOff>534290</xdr:colOff>
      <xdr:row>137</xdr:row>
      <xdr:rowOff>1397</xdr:rowOff>
    </xdr:from>
    <xdr:ext cx="4345780" cy="1379727"/>
    <xdr:sp macro="" textlink="">
      <xdr:nvSpPr>
        <xdr:cNvPr id="28" name="テキスト ボックス 27"/>
        <xdr:cNvSpPr txBox="1"/>
      </xdr:nvSpPr>
      <xdr:spPr>
        <a:xfrm>
          <a:off x="2605978" y="22837585"/>
          <a:ext cx="4345780" cy="1379727"/>
        </a:xfrm>
        <a:prstGeom prst="rect">
          <a:avLst/>
        </a:prstGeom>
        <a:solidFill>
          <a:schemeClr val="accent1"/>
        </a:solidFill>
        <a:ln w="19050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kumimoji="1" lang="en-US" altLang="ja-JP" sz="1400" b="1" u="sng">
              <a:solidFill>
                <a:schemeClr val="bg1"/>
              </a:solidFill>
            </a:rPr>
            <a:t>TradeNumber : 48</a:t>
          </a:r>
        </a:p>
        <a:p>
          <a:r>
            <a:rPr kumimoji="1" lang="en-US" altLang="ja-JP" sz="1400">
              <a:solidFill>
                <a:schemeClr val="bg1"/>
              </a:solidFill>
            </a:rPr>
            <a:t>USDCAD</a:t>
          </a:r>
          <a:r>
            <a:rPr kumimoji="1" lang="ja-JP" altLang="en-US" sz="1400">
              <a:solidFill>
                <a:schemeClr val="bg1"/>
              </a:solidFill>
            </a:rPr>
            <a:t>　　</a:t>
          </a:r>
          <a:r>
            <a:rPr kumimoji="1" lang="en-US" altLang="ja-JP" sz="1400">
              <a:solidFill>
                <a:schemeClr val="bg1"/>
              </a:solidFill>
            </a:rPr>
            <a:t>LONG     Day</a:t>
          </a:r>
        </a:p>
        <a:p>
          <a:r>
            <a:rPr kumimoji="1" lang="en-US" altLang="ja-JP" sz="1400">
              <a:solidFill>
                <a:schemeClr val="bg1"/>
              </a:solidFill>
            </a:rPr>
            <a:t>Day</a:t>
          </a:r>
          <a:r>
            <a:rPr kumimoji="1" lang="ja-JP" altLang="en-US" sz="1400">
              <a:solidFill>
                <a:schemeClr val="bg1"/>
              </a:solidFill>
            </a:rPr>
            <a:t>でみると、</a:t>
          </a:r>
          <a:r>
            <a:rPr kumimoji="1" lang="en-US" altLang="ja-JP" sz="1400">
              <a:solidFill>
                <a:schemeClr val="bg1"/>
              </a:solidFill>
            </a:rPr>
            <a:t>15.8.20-15.8.25</a:t>
          </a:r>
          <a:r>
            <a:rPr kumimoji="1" lang="ja-JP" altLang="en-US" sz="1400">
              <a:solidFill>
                <a:schemeClr val="bg1"/>
              </a:solidFill>
            </a:rPr>
            <a:t>の激震にも影響を受けず、</a:t>
          </a:r>
          <a:endParaRPr kumimoji="1" lang="en-US" altLang="ja-JP" sz="1400">
            <a:solidFill>
              <a:schemeClr val="bg1"/>
            </a:solidFill>
          </a:endParaRPr>
        </a:p>
        <a:p>
          <a:r>
            <a:rPr kumimoji="1" lang="ja-JP" altLang="en-US" sz="1400">
              <a:solidFill>
                <a:schemeClr val="bg1"/>
              </a:solidFill>
            </a:rPr>
            <a:t>直近</a:t>
          </a:r>
          <a:r>
            <a:rPr kumimoji="1" lang="en-US" altLang="ja-JP" sz="1400">
              <a:solidFill>
                <a:schemeClr val="bg1"/>
              </a:solidFill>
            </a:rPr>
            <a:t>H</a:t>
          </a:r>
          <a:r>
            <a:rPr kumimoji="1" lang="ja-JP" altLang="en-US" sz="1400">
              <a:solidFill>
                <a:schemeClr val="bg1"/>
              </a:solidFill>
            </a:rPr>
            <a:t>（</a:t>
          </a:r>
          <a:r>
            <a:rPr kumimoji="1" lang="en-US" altLang="ja-JP" sz="1400">
              <a:solidFill>
                <a:schemeClr val="bg1"/>
              </a:solidFill>
            </a:rPr>
            <a:t>0.0)</a:t>
          </a:r>
          <a:r>
            <a:rPr kumimoji="1" lang="ja-JP" altLang="en-US" sz="1400">
              <a:solidFill>
                <a:schemeClr val="bg1"/>
              </a:solidFill>
            </a:rPr>
            <a:t>を越えて</a:t>
          </a:r>
          <a:r>
            <a:rPr kumimoji="1" lang="en-US" altLang="ja-JP" sz="1400">
              <a:solidFill>
                <a:schemeClr val="bg1"/>
              </a:solidFill>
            </a:rPr>
            <a:t>up</a:t>
          </a:r>
          <a:r>
            <a:rPr kumimoji="1" lang="ja-JP" altLang="en-US" sz="1400">
              <a:solidFill>
                <a:schemeClr val="bg1"/>
              </a:solidFill>
            </a:rPr>
            <a:t>の兆候が見えていた。</a:t>
          </a:r>
          <a:endParaRPr kumimoji="1" lang="en-US" altLang="ja-JP" sz="1400">
            <a:solidFill>
              <a:schemeClr val="bg1"/>
            </a:solidFill>
          </a:endParaRPr>
        </a:p>
        <a:p>
          <a:r>
            <a:rPr kumimoji="1" lang="en-US" altLang="ja-JP" sz="1400">
              <a:solidFill>
                <a:schemeClr val="bg1"/>
              </a:solidFill>
            </a:rPr>
            <a:t>Month</a:t>
          </a:r>
          <a:r>
            <a:rPr kumimoji="1" lang="ja-JP" altLang="en-US" sz="1400">
              <a:solidFill>
                <a:schemeClr val="bg1"/>
              </a:solidFill>
            </a:rPr>
            <a:t>で見ると直近</a:t>
          </a:r>
          <a:r>
            <a:rPr kumimoji="1" lang="en-US" altLang="ja-JP" sz="1400">
              <a:solidFill>
                <a:schemeClr val="bg1"/>
              </a:solidFill>
            </a:rPr>
            <a:t>H</a:t>
          </a:r>
          <a:r>
            <a:rPr kumimoji="1" lang="ja-JP" altLang="en-US" sz="1400">
              <a:solidFill>
                <a:schemeClr val="bg1"/>
              </a:solidFill>
            </a:rPr>
            <a:t>を丁度越えたところ。</a:t>
          </a:r>
          <a:endParaRPr kumimoji="1" lang="en-US" altLang="ja-JP" sz="1400">
            <a:solidFill>
              <a:schemeClr val="bg1"/>
            </a:solidFill>
          </a:endParaRPr>
        </a:p>
      </xdr:txBody>
    </xdr:sp>
    <xdr:clientData/>
  </xdr:oneCellAnchor>
  <xdr:oneCellAnchor>
    <xdr:from>
      <xdr:col>33</xdr:col>
      <xdr:colOff>325966</xdr:colOff>
      <xdr:row>157</xdr:row>
      <xdr:rowOff>57148</xdr:rowOff>
    </xdr:from>
    <xdr:ext cx="4345780" cy="2239436"/>
    <xdr:sp macro="" textlink="">
      <xdr:nvSpPr>
        <xdr:cNvPr id="29" name="テキスト ボックス 28"/>
        <xdr:cNvSpPr txBox="1"/>
      </xdr:nvSpPr>
      <xdr:spPr>
        <a:xfrm>
          <a:off x="23027216" y="26642481"/>
          <a:ext cx="4345780" cy="2239436"/>
        </a:xfrm>
        <a:prstGeom prst="rect">
          <a:avLst/>
        </a:prstGeom>
        <a:solidFill>
          <a:schemeClr val="accent1"/>
        </a:solidFill>
        <a:ln w="19050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kumimoji="1" lang="en-US" altLang="ja-JP" sz="1400" b="1" u="sng">
              <a:solidFill>
                <a:schemeClr val="bg1"/>
              </a:solidFill>
            </a:rPr>
            <a:t>TradeNumber : 48</a:t>
          </a:r>
        </a:p>
        <a:p>
          <a:r>
            <a:rPr kumimoji="1" lang="en-US" altLang="ja-JP" sz="1400">
              <a:solidFill>
                <a:schemeClr val="bg1"/>
              </a:solidFill>
            </a:rPr>
            <a:t>USDCAD</a:t>
          </a:r>
          <a:r>
            <a:rPr kumimoji="1" lang="ja-JP" altLang="en-US" sz="1400">
              <a:solidFill>
                <a:schemeClr val="bg1"/>
              </a:solidFill>
            </a:rPr>
            <a:t>　　</a:t>
          </a:r>
          <a:r>
            <a:rPr kumimoji="1" lang="en-US" altLang="ja-JP" sz="1400">
              <a:solidFill>
                <a:schemeClr val="bg1"/>
              </a:solidFill>
            </a:rPr>
            <a:t>LONG     H4</a:t>
          </a:r>
        </a:p>
        <a:p>
          <a:r>
            <a:rPr kumimoji="1" lang="en-US" altLang="ja-JP" sz="1400">
              <a:solidFill>
                <a:schemeClr val="bg1"/>
              </a:solidFill>
            </a:rPr>
            <a:t>Day</a:t>
          </a:r>
          <a:r>
            <a:rPr kumimoji="1" lang="ja-JP" altLang="en-US" sz="1400">
              <a:solidFill>
                <a:schemeClr val="bg1"/>
              </a:solidFill>
            </a:rPr>
            <a:t>でみると、</a:t>
          </a:r>
          <a:r>
            <a:rPr kumimoji="1" lang="en-US" altLang="ja-JP" sz="1400">
              <a:solidFill>
                <a:schemeClr val="bg1"/>
              </a:solidFill>
            </a:rPr>
            <a:t>15.8.27/16:00-15.8.28/4:00</a:t>
          </a:r>
          <a:r>
            <a:rPr kumimoji="1" lang="ja-JP" altLang="en-US" sz="1400">
              <a:solidFill>
                <a:schemeClr val="bg1"/>
              </a:solidFill>
            </a:rPr>
            <a:t>の間に</a:t>
          </a:r>
          <a:endParaRPr kumimoji="1" lang="en-US" altLang="ja-JP" sz="1400">
            <a:solidFill>
              <a:schemeClr val="bg1"/>
            </a:solidFill>
          </a:endParaRPr>
        </a:p>
        <a:p>
          <a:r>
            <a:rPr kumimoji="1" lang="en-US" altLang="ja-JP" sz="1400">
              <a:solidFill>
                <a:schemeClr val="bg1"/>
              </a:solidFill>
            </a:rPr>
            <a:t>Sandwich</a:t>
          </a:r>
          <a:r>
            <a:rPr kumimoji="1" lang="ja-JP" altLang="en-US" sz="1400">
              <a:solidFill>
                <a:schemeClr val="bg1"/>
              </a:solidFill>
            </a:rPr>
            <a:t>の兆候が見えていたので、陰線上髭の</a:t>
          </a:r>
          <a:r>
            <a:rPr kumimoji="1" lang="en-US" altLang="ja-JP" sz="1400">
              <a:solidFill>
                <a:schemeClr val="bg1"/>
              </a:solidFill>
            </a:rPr>
            <a:t>H</a:t>
          </a:r>
          <a:r>
            <a:rPr kumimoji="1" lang="ja-JP" altLang="en-US" sz="1400">
              <a:solidFill>
                <a:schemeClr val="bg1"/>
              </a:solidFill>
            </a:rPr>
            <a:t>越えで逆指値、</a:t>
          </a:r>
          <a:r>
            <a:rPr kumimoji="1" lang="en-US" altLang="ja-JP" sz="1400">
              <a:solidFill>
                <a:schemeClr val="bg1"/>
              </a:solidFill>
            </a:rPr>
            <a:t>LC</a:t>
          </a:r>
          <a:r>
            <a:rPr kumimoji="1" lang="ja-JP" altLang="en-US" sz="1400">
              <a:solidFill>
                <a:schemeClr val="bg1"/>
              </a:solidFill>
            </a:rPr>
            <a:t>は隣の下髭の</a:t>
          </a:r>
          <a:r>
            <a:rPr kumimoji="1" lang="en-US" altLang="ja-JP" sz="1400">
              <a:solidFill>
                <a:schemeClr val="bg1"/>
              </a:solidFill>
            </a:rPr>
            <a:t>L</a:t>
          </a:r>
          <a:r>
            <a:rPr kumimoji="1" lang="ja-JP" altLang="en-US" sz="1400">
              <a:solidFill>
                <a:schemeClr val="bg1"/>
              </a:solidFill>
            </a:rPr>
            <a:t>。下髭の長い</a:t>
          </a:r>
          <a:r>
            <a:rPr kumimoji="1" lang="en-US" altLang="ja-JP" sz="1400">
              <a:solidFill>
                <a:schemeClr val="bg1"/>
              </a:solidFill>
            </a:rPr>
            <a:t>candle</a:t>
          </a:r>
          <a:r>
            <a:rPr kumimoji="1" lang="ja-JP" altLang="en-US" sz="1400">
              <a:solidFill>
                <a:schemeClr val="bg1"/>
              </a:solidFill>
            </a:rPr>
            <a:t>の</a:t>
          </a:r>
          <a:r>
            <a:rPr kumimoji="1" lang="en-US" altLang="ja-JP" sz="1400">
              <a:solidFill>
                <a:schemeClr val="bg1"/>
              </a:solidFill>
            </a:rPr>
            <a:t>1</a:t>
          </a:r>
          <a:r>
            <a:rPr kumimoji="1" lang="ja-JP" altLang="en-US" sz="1400">
              <a:solidFill>
                <a:schemeClr val="bg1"/>
              </a:solidFill>
            </a:rPr>
            <a:t>本右で</a:t>
          </a:r>
          <a:r>
            <a:rPr kumimoji="1" lang="en-US" altLang="ja-JP" sz="1400">
              <a:solidFill>
                <a:schemeClr val="bg1"/>
              </a:solidFill>
            </a:rPr>
            <a:t>entry</a:t>
          </a:r>
          <a:r>
            <a:rPr kumimoji="1" lang="ja-JP" altLang="en-US" sz="1400">
              <a:solidFill>
                <a:schemeClr val="bg1"/>
              </a:solidFill>
            </a:rPr>
            <a:t>、</a:t>
          </a:r>
          <a:r>
            <a:rPr kumimoji="1" lang="en-US" altLang="ja-JP" sz="1400">
              <a:solidFill>
                <a:schemeClr val="bg1"/>
              </a:solidFill>
            </a:rPr>
            <a:t>2</a:t>
          </a:r>
          <a:r>
            <a:rPr kumimoji="1" lang="ja-JP" altLang="en-US" sz="1400">
              <a:solidFill>
                <a:schemeClr val="bg1"/>
              </a:solidFill>
            </a:rPr>
            <a:t>本目で長い陽線が出たので、</a:t>
          </a:r>
          <a:r>
            <a:rPr kumimoji="1" lang="en-US" altLang="ja-JP" sz="1400">
              <a:solidFill>
                <a:schemeClr val="bg1"/>
              </a:solidFill>
            </a:rPr>
            <a:t>H1</a:t>
          </a:r>
          <a:r>
            <a:rPr kumimoji="1" lang="ja-JP" altLang="en-US" sz="1400">
              <a:solidFill>
                <a:schemeClr val="bg1"/>
              </a:solidFill>
            </a:rPr>
            <a:t>で</a:t>
          </a:r>
          <a:r>
            <a:rPr kumimoji="1" lang="en-US" altLang="ja-JP" sz="1400">
              <a:solidFill>
                <a:schemeClr val="bg1"/>
              </a:solidFill>
            </a:rPr>
            <a:t>LC</a:t>
          </a:r>
          <a:r>
            <a:rPr kumimoji="1" lang="ja-JP" altLang="en-US" sz="1400">
              <a:solidFill>
                <a:schemeClr val="bg1"/>
              </a:solidFill>
            </a:rPr>
            <a:t>を</a:t>
          </a:r>
          <a:r>
            <a:rPr kumimoji="1" lang="en-US" altLang="ja-JP" sz="1400">
              <a:solidFill>
                <a:schemeClr val="bg1"/>
              </a:solidFill>
            </a:rPr>
            <a:t>up</a:t>
          </a:r>
        </a:p>
        <a:p>
          <a:r>
            <a:rPr kumimoji="1" lang="ja-JP" altLang="en-US" sz="1400">
              <a:solidFill>
                <a:schemeClr val="bg1"/>
              </a:solidFill>
            </a:rPr>
            <a:t>負けが無い状態にして</a:t>
          </a:r>
          <a:r>
            <a:rPr kumimoji="1" lang="en-US" altLang="ja-JP" sz="1400">
              <a:solidFill>
                <a:schemeClr val="bg1"/>
              </a:solidFill>
            </a:rPr>
            <a:t>BedIn</a:t>
          </a:r>
          <a:r>
            <a:rPr kumimoji="1" lang="ja-JP" altLang="en-US" sz="1400">
              <a:solidFill>
                <a:schemeClr val="bg1"/>
              </a:solidFill>
            </a:rPr>
            <a:t>。</a:t>
          </a:r>
          <a:r>
            <a:rPr kumimoji="1" lang="en-US" altLang="ja-JP" sz="1400">
              <a:solidFill>
                <a:schemeClr val="bg1"/>
              </a:solidFill>
            </a:rPr>
            <a:t>3</a:t>
          </a:r>
          <a:r>
            <a:rPr kumimoji="1" lang="ja-JP" altLang="en-US" sz="1400">
              <a:solidFill>
                <a:schemeClr val="bg1"/>
              </a:solidFill>
            </a:rPr>
            <a:t>本目で長い陰線が出て</a:t>
          </a:r>
          <a:endParaRPr kumimoji="1" lang="en-US" altLang="ja-JP" sz="1400">
            <a:solidFill>
              <a:schemeClr val="bg1"/>
            </a:solidFill>
          </a:endParaRPr>
        </a:p>
        <a:p>
          <a:r>
            <a:rPr kumimoji="1" lang="en-US" altLang="ja-JP" sz="1400">
              <a:solidFill>
                <a:schemeClr val="bg1"/>
              </a:solidFill>
            </a:rPr>
            <a:t>exit</a:t>
          </a:r>
          <a:r>
            <a:rPr kumimoji="1" lang="ja-JP" altLang="en-US" sz="1400">
              <a:solidFill>
                <a:schemeClr val="bg1"/>
              </a:solidFill>
            </a:rPr>
            <a:t>。</a:t>
          </a:r>
          <a:r>
            <a:rPr kumimoji="1" lang="en-US" altLang="ja-JP" sz="1400">
              <a:solidFill>
                <a:schemeClr val="bg1"/>
              </a:solidFill>
            </a:rPr>
            <a:t>+14.5pips</a:t>
          </a:r>
          <a:r>
            <a:rPr kumimoji="1" lang="ja-JP" altLang="en-US" sz="1400">
              <a:solidFill>
                <a:schemeClr val="bg1"/>
              </a:solidFill>
            </a:rPr>
            <a:t>　　　狙いは</a:t>
          </a:r>
          <a:r>
            <a:rPr kumimoji="1" lang="en-US" altLang="ja-JP" sz="1400">
              <a:solidFill>
                <a:schemeClr val="bg1"/>
              </a:solidFill>
            </a:rPr>
            <a:t>-61.8</a:t>
          </a:r>
          <a:r>
            <a:rPr kumimoji="1" lang="ja-JP" altLang="en-US" sz="1400">
              <a:solidFill>
                <a:schemeClr val="bg1"/>
              </a:solidFill>
            </a:rPr>
            <a:t>：</a:t>
          </a:r>
          <a:r>
            <a:rPr kumimoji="1" lang="en-US" altLang="ja-JP" sz="1400">
              <a:solidFill>
                <a:schemeClr val="bg1"/>
              </a:solidFill>
            </a:rPr>
            <a:t>1.38831</a:t>
          </a:r>
          <a:r>
            <a:rPr kumimoji="1" lang="ja-JP" altLang="en-US" sz="1400">
              <a:solidFill>
                <a:schemeClr val="bg1"/>
              </a:solidFill>
            </a:rPr>
            <a:t>　だったので</a:t>
          </a:r>
          <a:endParaRPr kumimoji="1" lang="en-US" altLang="ja-JP" sz="1400">
            <a:solidFill>
              <a:schemeClr val="bg1"/>
            </a:solidFill>
          </a:endParaRPr>
        </a:p>
        <a:p>
          <a:r>
            <a:rPr kumimoji="1" lang="ja-JP" altLang="en-US" sz="1400">
              <a:solidFill>
                <a:schemeClr val="bg1"/>
              </a:solidFill>
            </a:rPr>
            <a:t>今後の動きを見極めて再度</a:t>
          </a:r>
          <a:r>
            <a:rPr kumimoji="1" lang="en-US" altLang="ja-JP" sz="1400">
              <a:solidFill>
                <a:schemeClr val="bg1"/>
              </a:solidFill>
            </a:rPr>
            <a:t>chance</a:t>
          </a:r>
          <a:r>
            <a:rPr kumimoji="1" lang="ja-JP" altLang="en-US" sz="1400">
              <a:solidFill>
                <a:schemeClr val="bg1"/>
              </a:solidFill>
            </a:rPr>
            <a:t>があれば再度検討。</a:t>
          </a:r>
          <a:endParaRPr kumimoji="1" lang="en-US" altLang="ja-JP" sz="1400">
            <a:solidFill>
              <a:schemeClr val="bg1"/>
            </a:solidFill>
          </a:endParaRPr>
        </a:p>
      </xdr:txBody>
    </xdr:sp>
    <xdr:clientData/>
  </xdr:oneCellAnchor>
  <xdr:twoCellAnchor>
    <xdr:from>
      <xdr:col>35</xdr:col>
      <xdr:colOff>380999</xdr:colOff>
      <xdr:row>148</xdr:row>
      <xdr:rowOff>21168</xdr:rowOff>
    </xdr:from>
    <xdr:to>
      <xdr:col>36</xdr:col>
      <xdr:colOff>264581</xdr:colOff>
      <xdr:row>150</xdr:row>
      <xdr:rowOff>74084</xdr:rowOff>
    </xdr:to>
    <xdr:sp macro="" textlink="">
      <xdr:nvSpPr>
        <xdr:cNvPr id="31" name="円/楕円 30"/>
        <xdr:cNvSpPr/>
      </xdr:nvSpPr>
      <xdr:spPr>
        <a:xfrm>
          <a:off x="24458082" y="25082501"/>
          <a:ext cx="571499" cy="391583"/>
        </a:xfrm>
        <a:prstGeom prst="ellipse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19</xdr:col>
      <xdr:colOff>0</xdr:colOff>
      <xdr:row>149</xdr:row>
      <xdr:rowOff>0</xdr:rowOff>
    </xdr:from>
    <xdr:to>
      <xdr:col>20</xdr:col>
      <xdr:colOff>635000</xdr:colOff>
      <xdr:row>149</xdr:row>
      <xdr:rowOff>4762</xdr:rowOff>
    </xdr:to>
    <xdr:cxnSp macro="">
      <xdr:nvCxnSpPr>
        <xdr:cNvPr id="32" name="直線矢印コネクタ 31"/>
        <xdr:cNvCxnSpPr/>
      </xdr:nvCxnSpPr>
      <xdr:spPr>
        <a:xfrm flipV="1">
          <a:off x="13070417" y="25230667"/>
          <a:ext cx="1322916" cy="4762"/>
        </a:xfrm>
        <a:prstGeom prst="straightConnector1">
          <a:avLst/>
        </a:prstGeom>
        <a:ln w="63500">
          <a:solidFill>
            <a:srgbClr val="00206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656167</xdr:colOff>
      <xdr:row>150</xdr:row>
      <xdr:rowOff>127000</xdr:rowOff>
    </xdr:from>
    <xdr:to>
      <xdr:col>36</xdr:col>
      <xdr:colOff>29634</xdr:colOff>
      <xdr:row>157</xdr:row>
      <xdr:rowOff>79376</xdr:rowOff>
    </xdr:to>
    <xdr:cxnSp macro="">
      <xdr:nvCxnSpPr>
        <xdr:cNvPr id="34" name="直線矢印コネクタ 33"/>
        <xdr:cNvCxnSpPr/>
      </xdr:nvCxnSpPr>
      <xdr:spPr>
        <a:xfrm flipH="1" flipV="1">
          <a:off x="24733250" y="25527000"/>
          <a:ext cx="61384" cy="1137709"/>
        </a:xfrm>
        <a:prstGeom prst="straightConnector1">
          <a:avLst/>
        </a:prstGeom>
        <a:ln w="1905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22</xdr:col>
      <xdr:colOff>12696</xdr:colOff>
      <xdr:row>137</xdr:row>
      <xdr:rowOff>167214</xdr:rowOff>
    </xdr:from>
    <xdr:ext cx="4345780" cy="2239436"/>
    <xdr:sp macro="" textlink="">
      <xdr:nvSpPr>
        <xdr:cNvPr id="36" name="テキスト ボックス 35"/>
        <xdr:cNvSpPr txBox="1"/>
      </xdr:nvSpPr>
      <xdr:spPr>
        <a:xfrm>
          <a:off x="15146863" y="23365881"/>
          <a:ext cx="4345780" cy="2239436"/>
        </a:xfrm>
        <a:prstGeom prst="rect">
          <a:avLst/>
        </a:prstGeom>
        <a:solidFill>
          <a:schemeClr val="accent1"/>
        </a:solidFill>
        <a:ln w="19050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kumimoji="1" lang="en-US" altLang="ja-JP" sz="1400">
              <a:solidFill>
                <a:schemeClr val="bg1"/>
              </a:solidFill>
            </a:rPr>
            <a:t>USDCAD</a:t>
          </a:r>
          <a:r>
            <a:rPr kumimoji="1" lang="ja-JP" altLang="en-US" sz="1400">
              <a:solidFill>
                <a:schemeClr val="bg1"/>
              </a:solidFill>
            </a:rPr>
            <a:t>の特徴なのか？　　</a:t>
          </a:r>
          <a:r>
            <a:rPr kumimoji="1" lang="en-US" altLang="ja-JP" sz="1400">
              <a:solidFill>
                <a:schemeClr val="bg1"/>
              </a:solidFill>
            </a:rPr>
            <a:t>Sandwich</a:t>
          </a:r>
          <a:r>
            <a:rPr kumimoji="1" lang="ja-JP" altLang="en-US" sz="1400">
              <a:solidFill>
                <a:schemeClr val="bg1"/>
              </a:solidFill>
            </a:rPr>
            <a:t>ぽい</a:t>
          </a:r>
          <a:r>
            <a:rPr kumimoji="1" lang="en-US" altLang="ja-JP" sz="1400">
              <a:solidFill>
                <a:schemeClr val="bg1"/>
              </a:solidFill>
            </a:rPr>
            <a:t>pattern</a:t>
          </a:r>
          <a:r>
            <a:rPr kumimoji="1" lang="ja-JP" altLang="en-US" sz="1400">
              <a:solidFill>
                <a:schemeClr val="bg1"/>
              </a:solidFill>
            </a:rPr>
            <a:t>が</a:t>
          </a:r>
          <a:endParaRPr kumimoji="1" lang="en-US" altLang="ja-JP" sz="1400">
            <a:solidFill>
              <a:schemeClr val="bg1"/>
            </a:solidFill>
          </a:endParaRPr>
        </a:p>
        <a:p>
          <a:r>
            <a:rPr kumimoji="1" lang="ja-JP" altLang="en-US" sz="1400">
              <a:solidFill>
                <a:schemeClr val="bg1"/>
              </a:solidFill>
            </a:rPr>
            <a:t>いくつも出ている。</a:t>
          </a:r>
          <a:endParaRPr kumimoji="1" lang="en-US" altLang="ja-JP" sz="1400">
            <a:solidFill>
              <a:schemeClr val="bg1"/>
            </a:solidFill>
          </a:endParaRPr>
        </a:p>
        <a:p>
          <a:r>
            <a:rPr kumimoji="1" lang="ja-JP" altLang="en-US" sz="1400">
              <a:solidFill>
                <a:schemeClr val="bg1"/>
              </a:solidFill>
            </a:rPr>
            <a:t>通貨</a:t>
          </a:r>
          <a:r>
            <a:rPr kumimoji="1" lang="en-US" altLang="ja-JP" sz="1400">
              <a:solidFill>
                <a:schemeClr val="bg1"/>
              </a:solidFill>
            </a:rPr>
            <a:t>pair</a:t>
          </a:r>
          <a:r>
            <a:rPr kumimoji="1" lang="ja-JP" altLang="en-US" sz="1400">
              <a:solidFill>
                <a:schemeClr val="bg1"/>
              </a:solidFill>
            </a:rPr>
            <a:t>としての特徴なのか、この時間帯としての特徴</a:t>
          </a:r>
          <a:endParaRPr kumimoji="1" lang="en-US" altLang="ja-JP" sz="1400">
            <a:solidFill>
              <a:schemeClr val="bg1"/>
            </a:solidFill>
          </a:endParaRPr>
        </a:p>
        <a:p>
          <a:r>
            <a:rPr kumimoji="1" lang="ja-JP" altLang="en-US" sz="1400">
              <a:solidFill>
                <a:schemeClr val="bg1"/>
              </a:solidFill>
            </a:rPr>
            <a:t>なのか？</a:t>
          </a:r>
          <a:endParaRPr kumimoji="1" lang="en-US" altLang="ja-JP" sz="1400">
            <a:solidFill>
              <a:schemeClr val="bg1"/>
            </a:solidFill>
          </a:endParaRPr>
        </a:p>
        <a:p>
          <a:r>
            <a:rPr kumimoji="1" lang="en-US" altLang="ja-JP" sz="1400">
              <a:solidFill>
                <a:schemeClr val="bg1"/>
              </a:solidFill>
            </a:rPr>
            <a:t>ChartPattern</a:t>
          </a:r>
          <a:r>
            <a:rPr kumimoji="1" lang="ja-JP" altLang="en-US" sz="1400">
              <a:solidFill>
                <a:schemeClr val="bg1"/>
              </a:solidFill>
            </a:rPr>
            <a:t>としては</a:t>
          </a:r>
          <a:r>
            <a:rPr kumimoji="1" lang="en-US" altLang="ja-JP" sz="1400">
              <a:solidFill>
                <a:schemeClr val="bg1"/>
              </a:solidFill>
            </a:rPr>
            <a:t>2pattern</a:t>
          </a:r>
        </a:p>
        <a:p>
          <a:r>
            <a:rPr kumimoji="1" lang="ja-JP" altLang="en-US" sz="1400">
              <a:solidFill>
                <a:schemeClr val="bg1"/>
              </a:solidFill>
            </a:rPr>
            <a:t>＊目立つ動きで</a:t>
          </a:r>
          <a:r>
            <a:rPr kumimoji="1" lang="en-US" altLang="ja-JP" sz="1400">
              <a:solidFill>
                <a:schemeClr val="bg1"/>
              </a:solidFill>
            </a:rPr>
            <a:t>down</a:t>
          </a:r>
          <a:r>
            <a:rPr kumimoji="1" lang="ja-JP" altLang="en-US" sz="1400">
              <a:solidFill>
                <a:schemeClr val="bg1"/>
              </a:solidFill>
            </a:rPr>
            <a:t>→ヒゲでの</a:t>
          </a:r>
          <a:r>
            <a:rPr kumimoji="1" lang="en-US" altLang="ja-JP" sz="1400">
              <a:solidFill>
                <a:schemeClr val="bg1"/>
              </a:solidFill>
            </a:rPr>
            <a:t>L</a:t>
          </a:r>
          <a:r>
            <a:rPr kumimoji="1" lang="ja-JP" altLang="en-US" sz="1400">
              <a:solidFill>
                <a:schemeClr val="bg1"/>
              </a:solidFill>
            </a:rPr>
            <a:t>更新のような動きが</a:t>
          </a:r>
          <a:endParaRPr kumimoji="1" lang="en-US" altLang="ja-JP" sz="1400">
            <a:solidFill>
              <a:schemeClr val="bg1"/>
            </a:solidFill>
          </a:endParaRPr>
        </a:p>
        <a:p>
          <a:r>
            <a:rPr kumimoji="1" lang="ja-JP" altLang="en-US" sz="1400">
              <a:solidFill>
                <a:schemeClr val="bg1"/>
              </a:solidFill>
            </a:rPr>
            <a:t>　　数本の</a:t>
          </a:r>
          <a:r>
            <a:rPr kumimoji="1" lang="en-US" altLang="ja-JP" sz="1400">
              <a:solidFill>
                <a:schemeClr val="bg1"/>
              </a:solidFill>
            </a:rPr>
            <a:t>candle</a:t>
          </a:r>
          <a:r>
            <a:rPr kumimoji="1" lang="ja-JP" altLang="en-US" sz="1400">
              <a:solidFill>
                <a:schemeClr val="bg1"/>
              </a:solidFill>
            </a:rPr>
            <a:t>（ヨコヨコ）→</a:t>
          </a:r>
          <a:r>
            <a:rPr kumimoji="1" lang="en-US" altLang="ja-JP" sz="1400">
              <a:solidFill>
                <a:schemeClr val="bg1"/>
              </a:solidFill>
            </a:rPr>
            <a:t>Long</a:t>
          </a:r>
        </a:p>
        <a:p>
          <a:r>
            <a:rPr kumimoji="1" lang="ja-JP" altLang="en-US" sz="1400">
              <a:solidFill>
                <a:schemeClr val="bg1"/>
              </a:solidFill>
            </a:rPr>
            <a:t>＊目立つ動きで</a:t>
          </a:r>
          <a:r>
            <a:rPr kumimoji="1" lang="en-US" altLang="ja-JP" sz="1400">
              <a:solidFill>
                <a:schemeClr val="bg1"/>
              </a:solidFill>
            </a:rPr>
            <a:t>up</a:t>
          </a:r>
          <a:r>
            <a:rPr kumimoji="1" lang="ja-JP" altLang="en-US" sz="1400">
              <a:solidFill>
                <a:schemeClr val="bg1"/>
              </a:solidFill>
            </a:rPr>
            <a:t>→ヒゲで</a:t>
          </a:r>
          <a:r>
            <a:rPr kumimoji="1" lang="en-US" altLang="ja-JP" sz="1400">
              <a:solidFill>
                <a:schemeClr val="bg1"/>
              </a:solidFill>
            </a:rPr>
            <a:t>H</a:t>
          </a:r>
          <a:r>
            <a:rPr kumimoji="1" lang="ja-JP" altLang="en-US" sz="1400">
              <a:solidFill>
                <a:schemeClr val="bg1"/>
              </a:solidFill>
            </a:rPr>
            <a:t>更新のような動きが数本の</a:t>
          </a:r>
          <a:endParaRPr kumimoji="1" lang="en-US" altLang="ja-JP" sz="1400">
            <a:solidFill>
              <a:schemeClr val="bg1"/>
            </a:solidFill>
          </a:endParaRPr>
        </a:p>
        <a:p>
          <a:r>
            <a:rPr kumimoji="1" lang="ja-JP" altLang="en-US" sz="1400">
              <a:solidFill>
                <a:schemeClr val="bg1"/>
              </a:solidFill>
            </a:rPr>
            <a:t>　　</a:t>
          </a:r>
          <a:r>
            <a:rPr kumimoji="1" lang="en-US" altLang="ja-JP" sz="1400">
              <a:solidFill>
                <a:schemeClr val="bg1"/>
              </a:solidFill>
            </a:rPr>
            <a:t>candle</a:t>
          </a:r>
          <a:r>
            <a:rPr kumimoji="1" lang="ja-JP" altLang="en-US" sz="1400">
              <a:solidFill>
                <a:schemeClr val="bg1"/>
              </a:solidFill>
            </a:rPr>
            <a:t>（ヨコヨコ）→</a:t>
          </a:r>
          <a:r>
            <a:rPr kumimoji="1" lang="en-US" altLang="ja-JP" sz="1400">
              <a:solidFill>
                <a:schemeClr val="bg1"/>
              </a:solidFill>
            </a:rPr>
            <a:t>Short</a:t>
          </a:r>
          <a:r>
            <a:rPr kumimoji="1" lang="ja-JP" altLang="en-US" sz="1400">
              <a:solidFill>
                <a:schemeClr val="bg1"/>
              </a:solidFill>
            </a:rPr>
            <a:t>　</a:t>
          </a:r>
          <a:endParaRPr kumimoji="1" lang="en-US" altLang="ja-JP" sz="1400">
            <a:solidFill>
              <a:schemeClr val="bg1"/>
            </a:solidFill>
          </a:endParaRPr>
        </a:p>
        <a:p>
          <a:endParaRPr kumimoji="1" lang="en-US" altLang="ja-JP" sz="1400">
            <a:solidFill>
              <a:schemeClr val="bg1"/>
            </a:solidFill>
          </a:endParaRPr>
        </a:p>
      </xdr:txBody>
    </xdr:sp>
    <xdr:clientData/>
  </xdr:oneCellAnchor>
  <xdr:twoCellAnchor>
    <xdr:from>
      <xdr:col>33</xdr:col>
      <xdr:colOff>649855</xdr:colOff>
      <xdr:row>151</xdr:row>
      <xdr:rowOff>120637</xdr:rowOff>
    </xdr:from>
    <xdr:to>
      <xdr:col>34</xdr:col>
      <xdr:colOff>533437</xdr:colOff>
      <xdr:row>154</xdr:row>
      <xdr:rowOff>4220</xdr:rowOff>
    </xdr:to>
    <xdr:sp macro="" textlink="">
      <xdr:nvSpPr>
        <xdr:cNvPr id="37" name="円/楕円 36"/>
        <xdr:cNvSpPr/>
      </xdr:nvSpPr>
      <xdr:spPr>
        <a:xfrm>
          <a:off x="23351105" y="25689970"/>
          <a:ext cx="571499" cy="391583"/>
        </a:xfrm>
        <a:prstGeom prst="ellipse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209607</xdr:colOff>
      <xdr:row>152</xdr:row>
      <xdr:rowOff>135452</xdr:rowOff>
    </xdr:from>
    <xdr:to>
      <xdr:col>34</xdr:col>
      <xdr:colOff>93189</xdr:colOff>
      <xdr:row>155</xdr:row>
      <xdr:rowOff>19035</xdr:rowOff>
    </xdr:to>
    <xdr:sp macro="" textlink="">
      <xdr:nvSpPr>
        <xdr:cNvPr id="38" name="円/楕円 37"/>
        <xdr:cNvSpPr/>
      </xdr:nvSpPr>
      <xdr:spPr>
        <a:xfrm>
          <a:off x="22910857" y="25874119"/>
          <a:ext cx="571499" cy="391583"/>
        </a:xfrm>
        <a:prstGeom prst="ellipse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31</xdr:col>
      <xdr:colOff>626625</xdr:colOff>
      <xdr:row>154</xdr:row>
      <xdr:rowOff>160846</xdr:rowOff>
    </xdr:from>
    <xdr:to>
      <xdr:col>32</xdr:col>
      <xdr:colOff>510208</xdr:colOff>
      <xdr:row>157</xdr:row>
      <xdr:rowOff>44429</xdr:rowOff>
    </xdr:to>
    <xdr:sp macro="" textlink="">
      <xdr:nvSpPr>
        <xdr:cNvPr id="39" name="円/楕円 38"/>
        <xdr:cNvSpPr/>
      </xdr:nvSpPr>
      <xdr:spPr>
        <a:xfrm>
          <a:off x="21952042" y="26238179"/>
          <a:ext cx="571499" cy="391583"/>
        </a:xfrm>
        <a:prstGeom prst="ellipse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29</xdr:col>
      <xdr:colOff>652073</xdr:colOff>
      <xdr:row>147</xdr:row>
      <xdr:rowOff>154538</xdr:rowOff>
    </xdr:from>
    <xdr:to>
      <xdr:col>30</xdr:col>
      <xdr:colOff>535655</xdr:colOff>
      <xdr:row>150</xdr:row>
      <xdr:rowOff>38121</xdr:rowOff>
    </xdr:to>
    <xdr:sp macro="" textlink="">
      <xdr:nvSpPr>
        <xdr:cNvPr id="40" name="円/楕円 39"/>
        <xdr:cNvSpPr/>
      </xdr:nvSpPr>
      <xdr:spPr>
        <a:xfrm>
          <a:off x="20601656" y="25046538"/>
          <a:ext cx="571499" cy="391583"/>
        </a:xfrm>
        <a:prstGeom prst="ellipse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140</xdr:row>
      <xdr:rowOff>152400</xdr:rowOff>
    </xdr:from>
    <xdr:to>
      <xdr:col>0</xdr:col>
      <xdr:colOff>64029</xdr:colOff>
      <xdr:row>147</xdr:row>
      <xdr:rowOff>104776</xdr:rowOff>
    </xdr:to>
    <xdr:cxnSp macro="">
      <xdr:nvCxnSpPr>
        <xdr:cNvPr id="41" name="直線矢印コネクタ 40"/>
        <xdr:cNvCxnSpPr/>
      </xdr:nvCxnSpPr>
      <xdr:spPr>
        <a:xfrm flipH="1" flipV="1">
          <a:off x="0" y="23488650"/>
          <a:ext cx="64029" cy="1119189"/>
        </a:xfrm>
        <a:prstGeom prst="straightConnector1">
          <a:avLst/>
        </a:prstGeom>
        <a:ln w="1905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357188</xdr:colOff>
      <xdr:row>143</xdr:row>
      <xdr:rowOff>142875</xdr:rowOff>
    </xdr:from>
    <xdr:to>
      <xdr:col>11</xdr:col>
      <xdr:colOff>23812</xdr:colOff>
      <xdr:row>146</xdr:row>
      <xdr:rowOff>83344</xdr:rowOff>
    </xdr:to>
    <xdr:cxnSp macro="">
      <xdr:nvCxnSpPr>
        <xdr:cNvPr id="42" name="直線矢印コネクタ 41"/>
        <xdr:cNvCxnSpPr/>
      </xdr:nvCxnSpPr>
      <xdr:spPr>
        <a:xfrm>
          <a:off x="5881688" y="23979188"/>
          <a:ext cx="1738312" cy="440531"/>
        </a:xfrm>
        <a:prstGeom prst="straightConnector1">
          <a:avLst/>
        </a:prstGeom>
        <a:ln w="1905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182</xdr:row>
      <xdr:rowOff>0</xdr:rowOff>
    </xdr:from>
    <xdr:to>
      <xdr:col>18</xdr:col>
      <xdr:colOff>666750</xdr:colOff>
      <xdr:row>224</xdr:row>
      <xdr:rowOff>114300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312039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11</xdr:col>
      <xdr:colOff>95250</xdr:colOff>
      <xdr:row>203</xdr:row>
      <xdr:rowOff>115358</xdr:rowOff>
    </xdr:from>
    <xdr:ext cx="4938447" cy="2519892"/>
    <xdr:sp macro="" textlink="">
      <xdr:nvSpPr>
        <xdr:cNvPr id="43" name="テキスト ボックス 42"/>
        <xdr:cNvSpPr txBox="1"/>
      </xdr:nvSpPr>
      <xdr:spPr>
        <a:xfrm>
          <a:off x="7662333" y="34490025"/>
          <a:ext cx="4938447" cy="2519892"/>
        </a:xfrm>
        <a:prstGeom prst="rect">
          <a:avLst/>
        </a:prstGeom>
        <a:solidFill>
          <a:schemeClr val="accent1"/>
        </a:solidFill>
        <a:ln w="19050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kumimoji="1" lang="en-US" altLang="ja-JP" sz="1400" b="1" u="sng">
              <a:solidFill>
                <a:schemeClr val="bg1"/>
              </a:solidFill>
            </a:rPr>
            <a:t>TradeNumber : 49</a:t>
          </a:r>
        </a:p>
        <a:p>
          <a:r>
            <a:rPr kumimoji="1" lang="en-US" altLang="ja-JP" sz="1400">
              <a:solidFill>
                <a:schemeClr val="bg1"/>
              </a:solidFill>
            </a:rPr>
            <a:t>USDCAD</a:t>
          </a:r>
          <a:r>
            <a:rPr kumimoji="1" lang="ja-JP" altLang="en-US" sz="1400">
              <a:solidFill>
                <a:schemeClr val="bg1"/>
              </a:solidFill>
            </a:rPr>
            <a:t>　　</a:t>
          </a:r>
          <a:r>
            <a:rPr kumimoji="1" lang="en-US" altLang="ja-JP" sz="1400">
              <a:solidFill>
                <a:schemeClr val="bg1"/>
              </a:solidFill>
            </a:rPr>
            <a:t>LONG     H4</a:t>
          </a:r>
        </a:p>
        <a:p>
          <a:r>
            <a:rPr kumimoji="1" lang="en-US" altLang="ja-JP" sz="1400">
              <a:solidFill>
                <a:schemeClr val="bg1"/>
              </a:solidFill>
            </a:rPr>
            <a:t>8.31</a:t>
          </a:r>
          <a:r>
            <a:rPr kumimoji="1" lang="en-US" altLang="ja-JP" sz="1400" baseline="0">
              <a:solidFill>
                <a:schemeClr val="bg1"/>
              </a:solidFill>
            </a:rPr>
            <a:t>/12:00 </a:t>
          </a:r>
          <a:r>
            <a:rPr kumimoji="1" lang="ja-JP" altLang="en-US" sz="1400" baseline="0">
              <a:solidFill>
                <a:schemeClr val="bg1"/>
              </a:solidFill>
            </a:rPr>
            <a:t>非常に強そうな</a:t>
          </a:r>
          <a:r>
            <a:rPr kumimoji="1" lang="en-US" altLang="ja-JP" sz="1400" baseline="0">
              <a:solidFill>
                <a:schemeClr val="bg1"/>
              </a:solidFill>
            </a:rPr>
            <a:t>EB</a:t>
          </a:r>
          <a:r>
            <a:rPr kumimoji="1" lang="ja-JP" altLang="en-US" sz="1400" baseline="0">
              <a:solidFill>
                <a:schemeClr val="bg1"/>
              </a:solidFill>
            </a:rPr>
            <a:t>発生。</a:t>
          </a:r>
          <a:r>
            <a:rPr kumimoji="1" lang="en-US" altLang="ja-JP" sz="1400" baseline="0">
              <a:solidFill>
                <a:schemeClr val="bg1"/>
              </a:solidFill>
            </a:rPr>
            <a:t>H</a:t>
          </a:r>
          <a:r>
            <a:rPr kumimoji="1" lang="ja-JP" altLang="en-US" sz="1400" baseline="0">
              <a:solidFill>
                <a:schemeClr val="bg1"/>
              </a:solidFill>
            </a:rPr>
            <a:t>越えで</a:t>
          </a:r>
          <a:r>
            <a:rPr kumimoji="1" lang="en-US" altLang="ja-JP" sz="1400" baseline="0">
              <a:solidFill>
                <a:schemeClr val="bg1"/>
              </a:solidFill>
            </a:rPr>
            <a:t>entry</a:t>
          </a:r>
          <a:r>
            <a:rPr kumimoji="1" lang="ja-JP" altLang="en-US" sz="1400" baseline="0">
              <a:solidFill>
                <a:schemeClr val="bg1"/>
              </a:solidFill>
            </a:rPr>
            <a:t>するが、その後の急激な戻しで</a:t>
          </a:r>
          <a:r>
            <a:rPr kumimoji="1" lang="en-US" altLang="ja-JP" sz="1400" baseline="0">
              <a:solidFill>
                <a:schemeClr val="bg1"/>
              </a:solidFill>
            </a:rPr>
            <a:t>LC</a:t>
          </a:r>
          <a:r>
            <a:rPr kumimoji="1" lang="ja-JP" altLang="en-US" sz="1400" baseline="0">
              <a:solidFill>
                <a:schemeClr val="bg1"/>
              </a:solidFill>
            </a:rPr>
            <a:t>。</a:t>
          </a:r>
          <a:r>
            <a:rPr kumimoji="1" lang="en-US" altLang="ja-JP" sz="1400" baseline="0">
              <a:solidFill>
                <a:schemeClr val="bg1"/>
              </a:solidFill>
            </a:rPr>
            <a:t>entry</a:t>
          </a:r>
          <a:r>
            <a:rPr kumimoji="1" lang="ja-JP" altLang="en-US" sz="1400" baseline="0">
              <a:solidFill>
                <a:schemeClr val="bg1"/>
              </a:solidFill>
            </a:rPr>
            <a:t>後、</a:t>
          </a:r>
          <a:r>
            <a:rPr kumimoji="1" lang="en-US" altLang="ja-JP" sz="1400" baseline="0">
              <a:solidFill>
                <a:schemeClr val="bg1"/>
              </a:solidFill>
            </a:rPr>
            <a:t>H1</a:t>
          </a:r>
          <a:r>
            <a:rPr kumimoji="1" lang="ja-JP" altLang="en-US" sz="1400" baseline="0">
              <a:solidFill>
                <a:schemeClr val="bg1"/>
              </a:solidFill>
            </a:rPr>
            <a:t>・</a:t>
          </a:r>
          <a:r>
            <a:rPr kumimoji="1" lang="en-US" altLang="ja-JP" sz="1400" baseline="0">
              <a:solidFill>
                <a:schemeClr val="bg1"/>
              </a:solidFill>
            </a:rPr>
            <a:t>15m</a:t>
          </a:r>
          <a:r>
            <a:rPr kumimoji="1" lang="ja-JP" altLang="en-US" sz="1400" baseline="0">
              <a:solidFill>
                <a:schemeClr val="bg1"/>
              </a:solidFill>
            </a:rPr>
            <a:t>で</a:t>
          </a:r>
          <a:r>
            <a:rPr kumimoji="1" lang="en-US" altLang="ja-JP" sz="1400" baseline="0">
              <a:solidFill>
                <a:schemeClr val="bg1"/>
              </a:solidFill>
            </a:rPr>
            <a:t>Trail</a:t>
          </a:r>
          <a:r>
            <a:rPr kumimoji="1" lang="ja-JP" altLang="en-US" sz="1400" baseline="0">
              <a:solidFill>
                <a:schemeClr val="bg1"/>
              </a:solidFill>
            </a:rPr>
            <a:t>したので</a:t>
          </a:r>
          <a:r>
            <a:rPr kumimoji="1" lang="en-US" altLang="ja-JP" sz="1400" baseline="0">
              <a:solidFill>
                <a:schemeClr val="bg1"/>
              </a:solidFill>
            </a:rPr>
            <a:t>LC</a:t>
          </a:r>
          <a:r>
            <a:rPr kumimoji="1" lang="ja-JP" altLang="en-US" sz="1400" baseline="0">
              <a:solidFill>
                <a:schemeClr val="bg1"/>
              </a:solidFill>
            </a:rPr>
            <a:t>幅は小さくて済んだが。</a:t>
          </a:r>
          <a:r>
            <a:rPr kumimoji="1" lang="en-US" altLang="ja-JP" sz="1400" baseline="0">
              <a:solidFill>
                <a:schemeClr val="bg1"/>
              </a:solidFill>
            </a:rPr>
            <a:t>up</a:t>
          </a:r>
          <a:r>
            <a:rPr kumimoji="1" lang="ja-JP" altLang="en-US" sz="1400" baseline="0">
              <a:solidFill>
                <a:schemeClr val="bg1"/>
              </a:solidFill>
            </a:rPr>
            <a:t>の</a:t>
          </a:r>
          <a:r>
            <a:rPr kumimoji="1" lang="en-US" altLang="ja-JP" sz="1400" baseline="0">
              <a:solidFill>
                <a:schemeClr val="bg1"/>
              </a:solidFill>
            </a:rPr>
            <a:t>scenario</a:t>
          </a:r>
          <a:r>
            <a:rPr kumimoji="1" lang="ja-JP" altLang="en-US" sz="1400" baseline="0">
              <a:solidFill>
                <a:schemeClr val="bg1"/>
              </a:solidFill>
            </a:rPr>
            <a:t>は消えたか？</a:t>
          </a:r>
          <a:endParaRPr kumimoji="1" lang="en-US" altLang="ja-JP" sz="1400" baseline="0">
            <a:solidFill>
              <a:schemeClr val="bg1"/>
            </a:solidFill>
          </a:endParaRPr>
        </a:p>
        <a:p>
          <a:endParaRPr kumimoji="1" lang="en-US" altLang="ja-JP" sz="1400" baseline="0">
            <a:solidFill>
              <a:schemeClr val="bg1"/>
            </a:solidFill>
          </a:endParaRPr>
        </a:p>
        <a:p>
          <a:r>
            <a:rPr kumimoji="1" lang="en-US" altLang="ja-JP" sz="1400" baseline="0">
              <a:solidFill>
                <a:schemeClr val="bg1"/>
              </a:solidFill>
            </a:rPr>
            <a:t>TN48</a:t>
          </a:r>
          <a:r>
            <a:rPr kumimoji="1" lang="ja-JP" altLang="en-US" sz="1400" baseline="0">
              <a:solidFill>
                <a:schemeClr val="bg1"/>
              </a:solidFill>
            </a:rPr>
            <a:t>に続いて、急な戻しで</a:t>
          </a:r>
          <a:r>
            <a:rPr kumimoji="1" lang="en-US" altLang="ja-JP" sz="1400" baseline="0">
              <a:solidFill>
                <a:schemeClr val="bg1"/>
              </a:solidFill>
            </a:rPr>
            <a:t>exit</a:t>
          </a:r>
          <a:r>
            <a:rPr kumimoji="1" lang="ja-JP" altLang="en-US" sz="1400" baseline="0">
              <a:solidFill>
                <a:schemeClr val="bg1"/>
              </a:solidFill>
            </a:rPr>
            <a:t>するのは</a:t>
          </a:r>
          <a:r>
            <a:rPr kumimoji="1" lang="en-US" altLang="ja-JP" sz="1400" baseline="0">
              <a:solidFill>
                <a:schemeClr val="bg1"/>
              </a:solidFill>
            </a:rPr>
            <a:t>2</a:t>
          </a:r>
          <a:r>
            <a:rPr kumimoji="1" lang="ja-JP" altLang="en-US" sz="1400" baseline="0">
              <a:solidFill>
                <a:schemeClr val="bg1"/>
              </a:solidFill>
            </a:rPr>
            <a:t>回目。</a:t>
          </a:r>
          <a:r>
            <a:rPr kumimoji="1" lang="en-US" altLang="ja-JP" sz="1400" baseline="0">
              <a:solidFill>
                <a:schemeClr val="bg1"/>
              </a:solidFill>
            </a:rPr>
            <a:t>1</a:t>
          </a:r>
          <a:r>
            <a:rPr kumimoji="1" lang="ja-JP" altLang="en-US" sz="1400" baseline="0">
              <a:solidFill>
                <a:schemeClr val="bg1"/>
              </a:solidFill>
            </a:rPr>
            <a:t>回目の急激な戻しで、今の</a:t>
          </a:r>
          <a:r>
            <a:rPr kumimoji="1" lang="en-US" altLang="ja-JP" sz="1400" baseline="0">
              <a:solidFill>
                <a:schemeClr val="bg1"/>
              </a:solidFill>
            </a:rPr>
            <a:t>USDCAD</a:t>
          </a:r>
          <a:r>
            <a:rPr kumimoji="1" lang="ja-JP" altLang="en-US" sz="1400" baseline="0">
              <a:solidFill>
                <a:schemeClr val="bg1"/>
              </a:solidFill>
            </a:rPr>
            <a:t>は</a:t>
          </a:r>
          <a:r>
            <a:rPr kumimoji="1" lang="en-US" altLang="ja-JP" sz="1400" baseline="0">
              <a:solidFill>
                <a:schemeClr val="bg1"/>
              </a:solidFill>
            </a:rPr>
            <a:t>tricky</a:t>
          </a:r>
          <a:r>
            <a:rPr kumimoji="1" lang="ja-JP" altLang="en-US" sz="1400" baseline="0">
              <a:solidFill>
                <a:schemeClr val="bg1"/>
              </a:solidFill>
            </a:rPr>
            <a:t>な動きをすると気づかなければいけなかったのか？  </a:t>
          </a:r>
          <a:r>
            <a:rPr kumimoji="1" lang="en-US" altLang="ja-JP" sz="1400" baseline="0">
              <a:solidFill>
                <a:schemeClr val="bg1"/>
              </a:solidFill>
            </a:rPr>
            <a:t>Day</a:t>
          </a:r>
          <a:r>
            <a:rPr kumimoji="1" lang="ja-JP" altLang="en-US" sz="1400" baseline="0">
              <a:solidFill>
                <a:schemeClr val="bg1"/>
              </a:solidFill>
            </a:rPr>
            <a:t>で見ると</a:t>
          </a:r>
          <a:r>
            <a:rPr kumimoji="1" lang="en-US" altLang="ja-JP" sz="1400" baseline="0">
              <a:solidFill>
                <a:schemeClr val="bg1"/>
              </a:solidFill>
            </a:rPr>
            <a:t>Divergence</a:t>
          </a:r>
          <a:r>
            <a:rPr kumimoji="1" lang="ja-JP" altLang="en-US" sz="1400" baseline="0">
              <a:solidFill>
                <a:schemeClr val="bg1"/>
              </a:solidFill>
            </a:rPr>
            <a:t>発生中なので一度</a:t>
          </a:r>
          <a:r>
            <a:rPr kumimoji="1" lang="en-US" altLang="ja-JP" sz="1400" baseline="0">
              <a:solidFill>
                <a:schemeClr val="bg1"/>
              </a:solidFill>
            </a:rPr>
            <a:t>Down </a:t>
          </a:r>
          <a:r>
            <a:rPr kumimoji="1" lang="ja-JP" altLang="en-US" sz="1400" baseline="0">
              <a:solidFill>
                <a:schemeClr val="bg1"/>
              </a:solidFill>
            </a:rPr>
            <a:t>かも？</a:t>
          </a:r>
          <a:endParaRPr kumimoji="1" lang="en-US" altLang="ja-JP" sz="1400">
            <a:solidFill>
              <a:schemeClr val="bg1"/>
            </a:solidFill>
          </a:endParaRPr>
        </a:p>
      </xdr:txBody>
    </xdr:sp>
    <xdr:clientData/>
  </xdr:oneCellAnchor>
  <xdr:twoCellAnchor>
    <xdr:from>
      <xdr:col>14</xdr:col>
      <xdr:colOff>328082</xdr:colOff>
      <xdr:row>191</xdr:row>
      <xdr:rowOff>110066</xdr:rowOff>
    </xdr:from>
    <xdr:to>
      <xdr:col>15</xdr:col>
      <xdr:colOff>95250</xdr:colOff>
      <xdr:row>196</xdr:row>
      <xdr:rowOff>137584</xdr:rowOff>
    </xdr:to>
    <xdr:sp macro="" textlink="">
      <xdr:nvSpPr>
        <xdr:cNvPr id="44" name="円/楕円 43"/>
        <xdr:cNvSpPr/>
      </xdr:nvSpPr>
      <xdr:spPr>
        <a:xfrm>
          <a:off x="9958915" y="32452733"/>
          <a:ext cx="455085" cy="874184"/>
        </a:xfrm>
        <a:prstGeom prst="ellipse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227</xdr:row>
      <xdr:rowOff>0</xdr:rowOff>
    </xdr:from>
    <xdr:to>
      <xdr:col>18</xdr:col>
      <xdr:colOff>666750</xdr:colOff>
      <xdr:row>269</xdr:row>
      <xdr:rowOff>114300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3891915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3</xdr:col>
      <xdr:colOff>105765</xdr:colOff>
      <xdr:row>229</xdr:row>
      <xdr:rowOff>141817</xdr:rowOff>
    </xdr:from>
    <xdr:ext cx="4938447" cy="2519892"/>
    <xdr:sp macro="" textlink="">
      <xdr:nvSpPr>
        <xdr:cNvPr id="45" name="テキスト ボックス 44"/>
        <xdr:cNvSpPr txBox="1"/>
      </xdr:nvSpPr>
      <xdr:spPr>
        <a:xfrm>
          <a:off x="2169515" y="38919150"/>
          <a:ext cx="4938447" cy="2519892"/>
        </a:xfrm>
        <a:prstGeom prst="rect">
          <a:avLst/>
        </a:prstGeom>
        <a:solidFill>
          <a:schemeClr val="accent1"/>
        </a:solidFill>
        <a:ln w="19050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kumimoji="1" lang="en-US" altLang="ja-JP" sz="1400" b="1" u="sng">
              <a:solidFill>
                <a:schemeClr val="bg1"/>
              </a:solidFill>
            </a:rPr>
            <a:t>TradeNumber : 60</a:t>
          </a:r>
        </a:p>
        <a:p>
          <a:r>
            <a:rPr kumimoji="1" lang="en-US" altLang="ja-JP" sz="1400">
              <a:solidFill>
                <a:schemeClr val="bg1"/>
              </a:solidFill>
            </a:rPr>
            <a:t>USDJPY</a:t>
          </a:r>
          <a:r>
            <a:rPr kumimoji="1" lang="ja-JP" altLang="en-US" sz="1400">
              <a:solidFill>
                <a:schemeClr val="bg1"/>
              </a:solidFill>
            </a:rPr>
            <a:t>　　</a:t>
          </a:r>
          <a:r>
            <a:rPr kumimoji="1" lang="en-US" altLang="ja-JP" sz="1400">
              <a:solidFill>
                <a:schemeClr val="bg1"/>
              </a:solidFill>
            </a:rPr>
            <a:t>LONG     H1</a:t>
          </a:r>
        </a:p>
        <a:p>
          <a:r>
            <a:rPr kumimoji="1" lang="en-US" altLang="ja-JP" sz="1400">
              <a:solidFill>
                <a:schemeClr val="bg1"/>
              </a:solidFill>
            </a:rPr>
            <a:t>FIB50.0</a:t>
          </a:r>
          <a:r>
            <a:rPr kumimoji="1" lang="ja-JP" altLang="en-US" sz="1400">
              <a:solidFill>
                <a:schemeClr val="bg1"/>
              </a:solidFill>
            </a:rPr>
            <a:t>を越えて</a:t>
          </a:r>
          <a:r>
            <a:rPr kumimoji="1" lang="en-US" altLang="ja-JP" sz="1400">
              <a:solidFill>
                <a:schemeClr val="bg1"/>
              </a:solidFill>
            </a:rPr>
            <a:t>up</a:t>
          </a:r>
          <a:r>
            <a:rPr kumimoji="1" lang="ja-JP" altLang="en-US" sz="1400">
              <a:solidFill>
                <a:schemeClr val="bg1"/>
              </a:solidFill>
            </a:rPr>
            <a:t>後</a:t>
          </a:r>
          <a:r>
            <a:rPr kumimoji="1" lang="en-US" altLang="ja-JP" sz="1400">
              <a:solidFill>
                <a:schemeClr val="bg1"/>
              </a:solidFill>
            </a:rPr>
            <a:t>adj</a:t>
          </a:r>
          <a:r>
            <a:rPr kumimoji="1" lang="ja-JP" altLang="en-US" sz="1400">
              <a:solidFill>
                <a:schemeClr val="bg1"/>
              </a:solidFill>
            </a:rPr>
            <a:t>、</a:t>
          </a:r>
          <a:r>
            <a:rPr kumimoji="1" lang="en-US" altLang="ja-JP" sz="1400">
              <a:solidFill>
                <a:schemeClr val="bg1"/>
              </a:solidFill>
            </a:rPr>
            <a:t>FIB50.0</a:t>
          </a:r>
          <a:r>
            <a:rPr kumimoji="1" lang="ja-JP" altLang="en-US" sz="1400">
              <a:solidFill>
                <a:schemeClr val="bg1"/>
              </a:solidFill>
            </a:rPr>
            <a:t>を再度越えてきそうなので</a:t>
          </a:r>
          <a:r>
            <a:rPr kumimoji="1" lang="en-US" altLang="ja-JP" sz="1400">
              <a:solidFill>
                <a:schemeClr val="bg1"/>
              </a:solidFill>
            </a:rPr>
            <a:t>entry</a:t>
          </a:r>
          <a:r>
            <a:rPr kumimoji="1" lang="ja-JP" altLang="en-US" sz="1400">
              <a:solidFill>
                <a:schemeClr val="bg1"/>
              </a:solidFill>
            </a:rPr>
            <a:t>検討。</a:t>
          </a:r>
          <a:r>
            <a:rPr kumimoji="1" lang="en-US" altLang="ja-JP" sz="1400">
              <a:solidFill>
                <a:schemeClr val="bg1"/>
              </a:solidFill>
            </a:rPr>
            <a:t>Candle3</a:t>
          </a:r>
          <a:r>
            <a:rPr kumimoji="1" lang="ja-JP" altLang="en-US" sz="1400">
              <a:solidFill>
                <a:schemeClr val="bg1"/>
              </a:solidFill>
            </a:rPr>
            <a:t>本で</a:t>
          </a:r>
          <a:r>
            <a:rPr kumimoji="1" lang="en-US" altLang="ja-JP" sz="1400">
              <a:solidFill>
                <a:schemeClr val="bg1"/>
              </a:solidFill>
            </a:rPr>
            <a:t>PB</a:t>
          </a:r>
          <a:r>
            <a:rPr kumimoji="1" lang="ja-JP" altLang="en-US" sz="1400">
              <a:solidFill>
                <a:schemeClr val="bg1"/>
              </a:solidFill>
            </a:rPr>
            <a:t>形成</a:t>
          </a:r>
          <a:r>
            <a:rPr kumimoji="1" lang="en-US" altLang="ja-JP" sz="1400">
              <a:solidFill>
                <a:schemeClr val="bg1"/>
              </a:solidFill>
            </a:rPr>
            <a:t>&amp;50.0</a:t>
          </a:r>
          <a:r>
            <a:rPr kumimoji="1" lang="ja-JP" altLang="en-US" sz="1400">
              <a:solidFill>
                <a:schemeClr val="bg1"/>
              </a:solidFill>
            </a:rPr>
            <a:t>越え想定。</a:t>
          </a:r>
          <a:endParaRPr kumimoji="1" lang="en-US" altLang="ja-JP" sz="1400">
            <a:solidFill>
              <a:schemeClr val="bg1"/>
            </a:solidFill>
          </a:endParaRPr>
        </a:p>
        <a:p>
          <a:r>
            <a:rPr kumimoji="1" lang="en-US" altLang="ja-JP" sz="1400">
              <a:solidFill>
                <a:schemeClr val="bg1"/>
              </a:solidFill>
            </a:rPr>
            <a:t>entry</a:t>
          </a:r>
          <a:r>
            <a:rPr kumimoji="1" lang="ja-JP" altLang="en-US" sz="1400">
              <a:solidFill>
                <a:schemeClr val="bg1"/>
              </a:solidFill>
            </a:rPr>
            <a:t>後、素直に</a:t>
          </a:r>
          <a:r>
            <a:rPr kumimoji="1" lang="en-US" altLang="ja-JP" sz="1400">
              <a:solidFill>
                <a:schemeClr val="bg1"/>
              </a:solidFill>
            </a:rPr>
            <a:t>up</a:t>
          </a:r>
          <a:r>
            <a:rPr kumimoji="1" lang="ja-JP" altLang="en-US" sz="1400">
              <a:solidFill>
                <a:schemeClr val="bg1"/>
              </a:solidFill>
            </a:rPr>
            <a:t>せず上髭連発なので、無理をせず成行き</a:t>
          </a:r>
          <a:r>
            <a:rPr kumimoji="1" lang="en-US" altLang="ja-JP" sz="1400">
              <a:solidFill>
                <a:schemeClr val="bg1"/>
              </a:solidFill>
            </a:rPr>
            <a:t>exit</a:t>
          </a:r>
          <a:r>
            <a:rPr kumimoji="1" lang="ja-JP" altLang="en-US" sz="1400">
              <a:solidFill>
                <a:schemeClr val="bg1"/>
              </a:solidFill>
            </a:rPr>
            <a:t>。</a:t>
          </a:r>
          <a:endParaRPr kumimoji="1" lang="en-US" altLang="ja-JP" sz="1400">
            <a:solidFill>
              <a:schemeClr val="bg1"/>
            </a:solidFill>
          </a:endParaRPr>
        </a:p>
        <a:p>
          <a:r>
            <a:rPr kumimoji="1" lang="en-US" altLang="ja-JP" sz="1400">
              <a:solidFill>
                <a:schemeClr val="bg1"/>
              </a:solidFill>
            </a:rPr>
            <a:t> +9.5pips</a:t>
          </a:r>
        </a:p>
        <a:p>
          <a:endParaRPr kumimoji="1" lang="en-US" altLang="ja-JP" sz="1400">
            <a:solidFill>
              <a:schemeClr val="bg1"/>
            </a:solidFill>
          </a:endParaRPr>
        </a:p>
        <a:p>
          <a:r>
            <a:rPr kumimoji="1" lang="ja-JP" altLang="en-US" sz="1400">
              <a:solidFill>
                <a:schemeClr val="bg1"/>
              </a:solidFill>
            </a:rPr>
            <a:t>監視継続。</a:t>
          </a:r>
          <a:endParaRPr kumimoji="1" lang="en-US" altLang="ja-JP" sz="1400">
            <a:solidFill>
              <a:schemeClr val="bg1"/>
            </a:solidFill>
          </a:endParaRPr>
        </a:p>
      </xdr:txBody>
    </xdr:sp>
    <xdr:clientData/>
  </xdr:oneCellAnchor>
  <xdr:twoCellAnchor>
    <xdr:from>
      <xdr:col>14</xdr:col>
      <xdr:colOff>380996</xdr:colOff>
      <xdr:row>238</xdr:row>
      <xdr:rowOff>120651</xdr:rowOff>
    </xdr:from>
    <xdr:to>
      <xdr:col>15</xdr:col>
      <xdr:colOff>52916</xdr:colOff>
      <xdr:row>241</xdr:row>
      <xdr:rowOff>127000</xdr:rowOff>
    </xdr:to>
    <xdr:sp macro="" textlink="">
      <xdr:nvSpPr>
        <xdr:cNvPr id="46" name="円/楕円 45"/>
        <xdr:cNvSpPr/>
      </xdr:nvSpPr>
      <xdr:spPr>
        <a:xfrm>
          <a:off x="10011829" y="40421984"/>
          <a:ext cx="359837" cy="514349"/>
        </a:xfrm>
        <a:prstGeom prst="ellipse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272</xdr:row>
      <xdr:rowOff>0</xdr:rowOff>
    </xdr:from>
    <xdr:to>
      <xdr:col>18</xdr:col>
      <xdr:colOff>666750</xdr:colOff>
      <xdr:row>314</xdr:row>
      <xdr:rowOff>114300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466344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8</xdr:col>
      <xdr:colOff>47625</xdr:colOff>
      <xdr:row>273</xdr:row>
      <xdr:rowOff>21430</xdr:rowOff>
    </xdr:from>
    <xdr:ext cx="3845720" cy="871538"/>
    <xdr:sp macro="" textlink="">
      <xdr:nvSpPr>
        <xdr:cNvPr id="47" name="テキスト ボックス 46"/>
        <xdr:cNvSpPr txBox="1"/>
      </xdr:nvSpPr>
      <xdr:spPr>
        <a:xfrm>
          <a:off x="5572125" y="45527118"/>
          <a:ext cx="3845720" cy="871538"/>
        </a:xfrm>
        <a:prstGeom prst="rect">
          <a:avLst/>
        </a:prstGeom>
        <a:solidFill>
          <a:schemeClr val="accent1"/>
        </a:solidFill>
        <a:ln w="19050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kumimoji="1" lang="en-US" altLang="ja-JP" sz="1400" b="1" u="sng">
              <a:solidFill>
                <a:schemeClr val="bg1"/>
              </a:solidFill>
            </a:rPr>
            <a:t>TradeNumber : 59</a:t>
          </a:r>
        </a:p>
        <a:p>
          <a:r>
            <a:rPr kumimoji="1" lang="en-US" altLang="ja-JP" sz="1400">
              <a:solidFill>
                <a:schemeClr val="bg1"/>
              </a:solidFill>
            </a:rPr>
            <a:t>EURUSD</a:t>
          </a:r>
          <a:r>
            <a:rPr kumimoji="1" lang="ja-JP" altLang="en-US" sz="1400">
              <a:solidFill>
                <a:schemeClr val="bg1"/>
              </a:solidFill>
            </a:rPr>
            <a:t>　　</a:t>
          </a:r>
          <a:r>
            <a:rPr kumimoji="1" lang="en-US" altLang="ja-JP" sz="1400">
              <a:solidFill>
                <a:schemeClr val="bg1"/>
              </a:solidFill>
            </a:rPr>
            <a:t>LONG     H4</a:t>
          </a:r>
        </a:p>
        <a:p>
          <a:r>
            <a:rPr kumimoji="1" lang="en-US" altLang="ja-JP" sz="1400">
              <a:solidFill>
                <a:schemeClr val="bg1"/>
              </a:solidFill>
            </a:rPr>
            <a:t>FIB0.0</a:t>
          </a:r>
          <a:r>
            <a:rPr kumimoji="1" lang="ja-JP" altLang="en-US" sz="1400">
              <a:solidFill>
                <a:schemeClr val="bg1"/>
              </a:solidFill>
            </a:rPr>
            <a:t>からの反発、調整後</a:t>
          </a:r>
          <a:r>
            <a:rPr kumimoji="1" lang="en-US" altLang="ja-JP" sz="1400">
              <a:solidFill>
                <a:schemeClr val="bg1"/>
              </a:solidFill>
            </a:rPr>
            <a:t>PB</a:t>
          </a:r>
          <a:r>
            <a:rPr kumimoji="1" lang="ja-JP" altLang="en-US" sz="1400">
              <a:solidFill>
                <a:schemeClr val="bg1"/>
              </a:solidFill>
            </a:rPr>
            <a:t>越えてで</a:t>
          </a:r>
          <a:r>
            <a:rPr kumimoji="1" lang="en-US" altLang="ja-JP" sz="1400">
              <a:solidFill>
                <a:schemeClr val="bg1"/>
              </a:solidFill>
            </a:rPr>
            <a:t>entry</a:t>
          </a:r>
          <a:r>
            <a:rPr kumimoji="1" lang="ja-JP" altLang="en-US" sz="1400">
              <a:solidFill>
                <a:schemeClr val="bg1"/>
              </a:solidFill>
            </a:rPr>
            <a:t>。</a:t>
          </a:r>
          <a:endParaRPr kumimoji="1" lang="en-US" altLang="ja-JP" sz="1400">
            <a:solidFill>
              <a:schemeClr val="bg1"/>
            </a:solidFill>
          </a:endParaRPr>
        </a:p>
      </xdr:txBody>
    </xdr:sp>
    <xdr:clientData/>
  </xdr:oneCellAnchor>
  <xdr:twoCellAnchor>
    <xdr:from>
      <xdr:col>13</xdr:col>
      <xdr:colOff>619124</xdr:colOff>
      <xdr:row>293</xdr:row>
      <xdr:rowOff>92869</xdr:rowOff>
    </xdr:from>
    <xdr:to>
      <xdr:col>14</xdr:col>
      <xdr:colOff>291045</xdr:colOff>
      <xdr:row>296</xdr:row>
      <xdr:rowOff>99219</xdr:rowOff>
    </xdr:to>
    <xdr:sp macro="" textlink="">
      <xdr:nvSpPr>
        <xdr:cNvPr id="48" name="円/楕円 47"/>
        <xdr:cNvSpPr/>
      </xdr:nvSpPr>
      <xdr:spPr>
        <a:xfrm>
          <a:off x="9596437" y="48932307"/>
          <a:ext cx="362483" cy="506412"/>
        </a:xfrm>
        <a:prstGeom prst="ellipse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 editAs="oneCell">
    <xdr:from>
      <xdr:col>21</xdr:col>
      <xdr:colOff>35703</xdr:colOff>
      <xdr:row>272</xdr:row>
      <xdr:rowOff>0</xdr:rowOff>
    </xdr:from>
    <xdr:to>
      <xdr:col>40</xdr:col>
      <xdr:colOff>11891</xdr:colOff>
      <xdr:row>314</xdr:row>
      <xdr:rowOff>114300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37516" y="45339000"/>
          <a:ext cx="13096875" cy="7115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34</xdr:col>
      <xdr:colOff>83343</xdr:colOff>
      <xdr:row>283</xdr:row>
      <xdr:rowOff>128586</xdr:rowOff>
    </xdr:from>
    <xdr:to>
      <xdr:col>34</xdr:col>
      <xdr:colOff>357187</xdr:colOff>
      <xdr:row>286</xdr:row>
      <xdr:rowOff>59531</xdr:rowOff>
    </xdr:to>
    <xdr:sp macro="" textlink="">
      <xdr:nvSpPr>
        <xdr:cNvPr id="50" name="円/楕円 49"/>
        <xdr:cNvSpPr/>
      </xdr:nvSpPr>
      <xdr:spPr>
        <a:xfrm>
          <a:off x="23562468" y="47301149"/>
          <a:ext cx="273844" cy="431007"/>
        </a:xfrm>
        <a:prstGeom prst="ellipse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19</xdr:col>
      <xdr:colOff>0</xdr:colOff>
      <xdr:row>279</xdr:row>
      <xdr:rowOff>0</xdr:rowOff>
    </xdr:from>
    <xdr:to>
      <xdr:col>20</xdr:col>
      <xdr:colOff>635000</xdr:colOff>
      <xdr:row>279</xdr:row>
      <xdr:rowOff>4762</xdr:rowOff>
    </xdr:to>
    <xdr:cxnSp macro="">
      <xdr:nvCxnSpPr>
        <xdr:cNvPr id="51" name="直線矢印コネクタ 50"/>
        <xdr:cNvCxnSpPr/>
      </xdr:nvCxnSpPr>
      <xdr:spPr>
        <a:xfrm flipV="1">
          <a:off x="13120688" y="46505813"/>
          <a:ext cx="1325562" cy="4762"/>
        </a:xfrm>
        <a:prstGeom prst="straightConnector1">
          <a:avLst/>
        </a:prstGeom>
        <a:ln w="63500">
          <a:solidFill>
            <a:srgbClr val="00206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107156</xdr:colOff>
      <xdr:row>278</xdr:row>
      <xdr:rowOff>57150</xdr:rowOff>
    </xdr:from>
    <xdr:to>
      <xdr:col>14</xdr:col>
      <xdr:colOff>23813</xdr:colOff>
      <xdr:row>293</xdr:row>
      <xdr:rowOff>47625</xdr:rowOff>
    </xdr:to>
    <xdr:cxnSp macro="">
      <xdr:nvCxnSpPr>
        <xdr:cNvPr id="52" name="直線矢印コネクタ 51"/>
        <xdr:cNvCxnSpPr/>
      </xdr:nvCxnSpPr>
      <xdr:spPr>
        <a:xfrm>
          <a:off x="8393906" y="46396275"/>
          <a:ext cx="1297782" cy="2490788"/>
        </a:xfrm>
        <a:prstGeom prst="straightConnector1">
          <a:avLst/>
        </a:prstGeom>
        <a:ln w="1905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33</xdr:col>
      <xdr:colOff>583389</xdr:colOff>
      <xdr:row>292</xdr:row>
      <xdr:rowOff>0</xdr:rowOff>
    </xdr:from>
    <xdr:ext cx="3845720" cy="1726406"/>
    <xdr:sp macro="" textlink="">
      <xdr:nvSpPr>
        <xdr:cNvPr id="56" name="テキスト ボックス 55"/>
        <xdr:cNvSpPr txBox="1"/>
      </xdr:nvSpPr>
      <xdr:spPr>
        <a:xfrm>
          <a:off x="23371952" y="48672750"/>
          <a:ext cx="3845720" cy="1726406"/>
        </a:xfrm>
        <a:prstGeom prst="rect">
          <a:avLst/>
        </a:prstGeom>
        <a:solidFill>
          <a:schemeClr val="accent1"/>
        </a:solidFill>
        <a:ln w="19050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kumimoji="1" lang="en-US" altLang="ja-JP" sz="1400" b="1" u="sng">
              <a:solidFill>
                <a:schemeClr val="bg1"/>
              </a:solidFill>
            </a:rPr>
            <a:t>TradeNumber : 59</a:t>
          </a:r>
        </a:p>
        <a:p>
          <a:r>
            <a:rPr kumimoji="1" lang="ja-JP" altLang="en-US" sz="1400">
              <a:solidFill>
                <a:schemeClr val="bg1"/>
              </a:solidFill>
            </a:rPr>
            <a:t>その後、</a:t>
          </a:r>
          <a:r>
            <a:rPr kumimoji="1" lang="en-US" altLang="ja-JP" sz="1400">
              <a:solidFill>
                <a:schemeClr val="bg1"/>
              </a:solidFill>
            </a:rPr>
            <a:t>H1</a:t>
          </a:r>
          <a:r>
            <a:rPr kumimoji="1" lang="ja-JP" altLang="en-US" sz="1400">
              <a:solidFill>
                <a:schemeClr val="bg1"/>
              </a:solidFill>
            </a:rPr>
            <a:t>で</a:t>
          </a:r>
          <a:r>
            <a:rPr kumimoji="1" lang="en-US" altLang="ja-JP" sz="1400">
              <a:solidFill>
                <a:schemeClr val="bg1"/>
              </a:solidFill>
            </a:rPr>
            <a:t>trailing</a:t>
          </a:r>
          <a:r>
            <a:rPr kumimoji="1" lang="ja-JP" altLang="en-US" sz="1400">
              <a:solidFill>
                <a:schemeClr val="bg1"/>
              </a:solidFill>
            </a:rPr>
            <a:t>。</a:t>
          </a:r>
          <a:r>
            <a:rPr kumimoji="1" lang="en-US" altLang="ja-JP" sz="1400">
              <a:solidFill>
                <a:schemeClr val="bg1"/>
              </a:solidFill>
            </a:rPr>
            <a:t>EB</a:t>
          </a:r>
          <a:r>
            <a:rPr kumimoji="1" lang="ja-JP" altLang="en-US" sz="1400">
              <a:solidFill>
                <a:schemeClr val="bg1"/>
              </a:solidFill>
            </a:rPr>
            <a:t>で</a:t>
          </a:r>
          <a:r>
            <a:rPr kumimoji="1" lang="en-US" altLang="ja-JP" sz="1400">
              <a:solidFill>
                <a:schemeClr val="bg1"/>
              </a:solidFill>
            </a:rPr>
            <a:t>LC</a:t>
          </a:r>
          <a:r>
            <a:rPr kumimoji="1" lang="ja-JP" altLang="en-US" sz="1400">
              <a:solidFill>
                <a:schemeClr val="bg1"/>
              </a:solidFill>
            </a:rPr>
            <a:t>を上げたが、その後の下髭で</a:t>
          </a:r>
          <a:r>
            <a:rPr kumimoji="1" lang="en-US" altLang="ja-JP" sz="1400">
              <a:solidFill>
                <a:schemeClr val="bg1"/>
              </a:solidFill>
            </a:rPr>
            <a:t>exit</a:t>
          </a:r>
          <a:r>
            <a:rPr kumimoji="1" lang="ja-JP" altLang="en-US" sz="1400">
              <a:solidFill>
                <a:schemeClr val="bg1"/>
              </a:solidFill>
            </a:rPr>
            <a:t>　</a:t>
          </a:r>
          <a:r>
            <a:rPr kumimoji="1" lang="en-US" altLang="ja-JP" sz="1400">
              <a:solidFill>
                <a:schemeClr val="bg1"/>
              </a:solidFill>
            </a:rPr>
            <a:t>+62.9pips</a:t>
          </a:r>
          <a:r>
            <a:rPr kumimoji="1" lang="ja-JP" altLang="en-US" sz="1400">
              <a:solidFill>
                <a:schemeClr val="bg1"/>
              </a:solidFill>
            </a:rPr>
            <a:t>。</a:t>
          </a:r>
          <a:endParaRPr kumimoji="1" lang="en-US" altLang="ja-JP" sz="1400">
            <a:solidFill>
              <a:schemeClr val="bg1"/>
            </a:solidFill>
          </a:endParaRPr>
        </a:p>
        <a:p>
          <a:r>
            <a:rPr kumimoji="1" lang="ja-JP" altLang="en-US" sz="1400">
              <a:solidFill>
                <a:schemeClr val="bg1"/>
              </a:solidFill>
            </a:rPr>
            <a:t>更にその後に</a:t>
          </a:r>
          <a:r>
            <a:rPr kumimoji="1" lang="en-US" altLang="ja-JP" sz="1400">
              <a:solidFill>
                <a:schemeClr val="bg1"/>
              </a:solidFill>
            </a:rPr>
            <a:t>up</a:t>
          </a:r>
          <a:r>
            <a:rPr kumimoji="1" lang="ja-JP" altLang="en-US" sz="1400">
              <a:solidFill>
                <a:schemeClr val="bg1"/>
              </a:solidFill>
            </a:rPr>
            <a:t>→</a:t>
          </a:r>
          <a:r>
            <a:rPr kumimoji="1" lang="en-US" altLang="ja-JP" sz="1400">
              <a:solidFill>
                <a:schemeClr val="bg1"/>
              </a:solidFill>
            </a:rPr>
            <a:t>entry</a:t>
          </a:r>
          <a:r>
            <a:rPr kumimoji="1" lang="ja-JP" altLang="en-US" sz="1400">
              <a:solidFill>
                <a:schemeClr val="bg1"/>
              </a:solidFill>
            </a:rPr>
            <a:t>と同じ</a:t>
          </a:r>
          <a:r>
            <a:rPr kumimoji="1" lang="en-US" altLang="ja-JP" sz="1400">
              <a:solidFill>
                <a:schemeClr val="bg1"/>
              </a:solidFill>
            </a:rPr>
            <a:t>H4</a:t>
          </a:r>
          <a:r>
            <a:rPr kumimoji="1" lang="ja-JP" altLang="en-US" sz="1400">
              <a:solidFill>
                <a:schemeClr val="bg1"/>
              </a:solidFill>
            </a:rPr>
            <a:t>で</a:t>
          </a:r>
          <a:r>
            <a:rPr kumimoji="1" lang="en-US" altLang="ja-JP" sz="1400">
              <a:solidFill>
                <a:schemeClr val="bg1"/>
              </a:solidFill>
            </a:rPr>
            <a:t>trailing</a:t>
          </a:r>
          <a:r>
            <a:rPr kumimoji="1" lang="ja-JP" altLang="en-US" sz="1400">
              <a:solidFill>
                <a:schemeClr val="bg1"/>
              </a:solidFill>
            </a:rPr>
            <a:t>していれば、まだ</a:t>
          </a:r>
          <a:r>
            <a:rPr kumimoji="1" lang="en-US" altLang="ja-JP" sz="1400">
              <a:solidFill>
                <a:schemeClr val="bg1"/>
              </a:solidFill>
            </a:rPr>
            <a:t>+</a:t>
          </a:r>
          <a:r>
            <a:rPr kumimoji="1" lang="ja-JP" altLang="en-US" sz="1400">
              <a:solidFill>
                <a:schemeClr val="bg1"/>
              </a:solidFill>
            </a:rPr>
            <a:t>を伸ばすことができた。</a:t>
          </a:r>
          <a:endParaRPr kumimoji="1" lang="en-US" altLang="ja-JP" sz="1400">
            <a:solidFill>
              <a:schemeClr val="bg1"/>
            </a:solidFill>
          </a:endParaRPr>
        </a:p>
        <a:p>
          <a:r>
            <a:rPr kumimoji="1" lang="ja-JP" altLang="en-US" sz="1400">
              <a:solidFill>
                <a:schemeClr val="bg1"/>
              </a:solidFill>
            </a:rPr>
            <a:t>→確保した</a:t>
          </a:r>
          <a:r>
            <a:rPr kumimoji="1" lang="en-US" altLang="ja-JP" sz="1400">
              <a:solidFill>
                <a:schemeClr val="bg1"/>
              </a:solidFill>
            </a:rPr>
            <a:t>+</a:t>
          </a:r>
          <a:r>
            <a:rPr kumimoji="1" lang="ja-JP" altLang="en-US" sz="1400">
              <a:solidFill>
                <a:schemeClr val="bg1"/>
              </a:solidFill>
            </a:rPr>
            <a:t>を失う恐怖に耐えて冷静に</a:t>
          </a:r>
          <a:r>
            <a:rPr kumimoji="1" lang="en-US" altLang="ja-JP" sz="1400">
              <a:solidFill>
                <a:schemeClr val="bg1"/>
              </a:solidFill>
            </a:rPr>
            <a:t>trailing</a:t>
          </a:r>
          <a:r>
            <a:rPr kumimoji="1" lang="ja-JP" altLang="en-US" sz="1400">
              <a:solidFill>
                <a:schemeClr val="bg1"/>
              </a:solidFill>
            </a:rPr>
            <a:t>を</a:t>
          </a:r>
          <a:endParaRPr kumimoji="1" lang="en-US" altLang="ja-JP" sz="1400">
            <a:solidFill>
              <a:schemeClr val="bg1"/>
            </a:solidFill>
          </a:endParaRPr>
        </a:p>
        <a:p>
          <a:r>
            <a:rPr kumimoji="1" lang="ja-JP" altLang="en-US" sz="1400">
              <a:solidFill>
                <a:schemeClr val="bg1"/>
              </a:solidFill>
            </a:rPr>
            <a:t>　　することができるか？？</a:t>
          </a:r>
          <a:endParaRPr kumimoji="1" lang="en-US" altLang="ja-JP" sz="1400">
            <a:solidFill>
              <a:schemeClr val="bg1"/>
            </a:solidFill>
          </a:endParaRPr>
        </a:p>
      </xdr:txBody>
    </xdr:sp>
    <xdr:clientData/>
  </xdr:oneCellAnchor>
  <xdr:twoCellAnchor>
    <xdr:from>
      <xdr:col>34</xdr:col>
      <xdr:colOff>261936</xdr:colOff>
      <xdr:row>286</xdr:row>
      <xdr:rowOff>83344</xdr:rowOff>
    </xdr:from>
    <xdr:to>
      <xdr:col>34</xdr:col>
      <xdr:colOff>666750</xdr:colOff>
      <xdr:row>291</xdr:row>
      <xdr:rowOff>95251</xdr:rowOff>
    </xdr:to>
    <xdr:cxnSp macro="">
      <xdr:nvCxnSpPr>
        <xdr:cNvPr id="57" name="直線矢印コネクタ 56"/>
        <xdr:cNvCxnSpPr/>
      </xdr:nvCxnSpPr>
      <xdr:spPr>
        <a:xfrm flipH="1" flipV="1">
          <a:off x="23741061" y="47755969"/>
          <a:ext cx="404814" cy="845345"/>
        </a:xfrm>
        <a:prstGeom prst="straightConnector1">
          <a:avLst/>
        </a:prstGeom>
        <a:ln w="1905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317</xdr:row>
      <xdr:rowOff>0</xdr:rowOff>
    </xdr:from>
    <xdr:to>
      <xdr:col>18</xdr:col>
      <xdr:colOff>666750</xdr:colOff>
      <xdr:row>359</xdr:row>
      <xdr:rowOff>114300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5434965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0</xdr:col>
      <xdr:colOff>107157</xdr:colOff>
      <xdr:row>318</xdr:row>
      <xdr:rowOff>45243</xdr:rowOff>
    </xdr:from>
    <xdr:ext cx="3845720" cy="1133475"/>
    <xdr:sp macro="" textlink="">
      <xdr:nvSpPr>
        <xdr:cNvPr id="55" name="テキスト ボックス 54"/>
        <xdr:cNvSpPr txBox="1"/>
      </xdr:nvSpPr>
      <xdr:spPr>
        <a:xfrm>
          <a:off x="107157" y="53051868"/>
          <a:ext cx="3845720" cy="1133475"/>
        </a:xfrm>
        <a:prstGeom prst="rect">
          <a:avLst/>
        </a:prstGeom>
        <a:solidFill>
          <a:schemeClr val="accent1"/>
        </a:solidFill>
        <a:ln w="19050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kumimoji="1" lang="en-US" altLang="ja-JP" sz="1400" b="1" u="sng">
              <a:solidFill>
                <a:schemeClr val="bg1"/>
              </a:solidFill>
            </a:rPr>
            <a:t>TradeNumber : 66</a:t>
          </a:r>
        </a:p>
        <a:p>
          <a:r>
            <a:rPr kumimoji="1" lang="en-US" altLang="ja-JP" sz="1400">
              <a:solidFill>
                <a:schemeClr val="bg1"/>
              </a:solidFill>
            </a:rPr>
            <a:t>GBPJPY</a:t>
          </a:r>
          <a:r>
            <a:rPr kumimoji="1" lang="ja-JP" altLang="en-US" sz="1400">
              <a:solidFill>
                <a:schemeClr val="bg1"/>
              </a:solidFill>
            </a:rPr>
            <a:t>　　</a:t>
          </a:r>
          <a:r>
            <a:rPr kumimoji="1" lang="en-US" altLang="ja-JP" sz="1400">
              <a:solidFill>
                <a:schemeClr val="bg1"/>
              </a:solidFill>
            </a:rPr>
            <a:t>SHORT     H1</a:t>
          </a:r>
        </a:p>
        <a:p>
          <a:r>
            <a:rPr kumimoji="1" lang="en-US" altLang="ja-JP" sz="1400">
              <a:solidFill>
                <a:schemeClr val="bg1"/>
              </a:solidFill>
            </a:rPr>
            <a:t>Wedge</a:t>
          </a:r>
          <a:r>
            <a:rPr kumimoji="1" lang="ja-JP" altLang="en-US" sz="1400">
              <a:solidFill>
                <a:schemeClr val="bg1"/>
              </a:solidFill>
            </a:rPr>
            <a:t>下方</a:t>
          </a:r>
          <a:r>
            <a:rPr kumimoji="1" lang="en-US" altLang="ja-JP" sz="1400">
              <a:solidFill>
                <a:schemeClr val="bg1"/>
              </a:solidFill>
            </a:rPr>
            <a:t>break</a:t>
          </a:r>
          <a:r>
            <a:rPr kumimoji="1" lang="ja-JP" altLang="en-US" sz="1400">
              <a:solidFill>
                <a:schemeClr val="bg1"/>
              </a:solidFill>
            </a:rPr>
            <a:t>想定で、</a:t>
          </a:r>
          <a:r>
            <a:rPr kumimoji="1" lang="en-US" altLang="ja-JP" sz="1400">
              <a:solidFill>
                <a:schemeClr val="bg1"/>
              </a:solidFill>
            </a:rPr>
            <a:t>H1</a:t>
          </a:r>
          <a:r>
            <a:rPr kumimoji="1" lang="ja-JP" altLang="en-US" sz="1400">
              <a:solidFill>
                <a:schemeClr val="bg1"/>
              </a:solidFill>
            </a:rPr>
            <a:t>で</a:t>
          </a:r>
          <a:r>
            <a:rPr kumimoji="1" lang="en-US" altLang="ja-JP" sz="1400">
              <a:solidFill>
                <a:schemeClr val="bg1"/>
              </a:solidFill>
            </a:rPr>
            <a:t>entry</a:t>
          </a:r>
          <a:r>
            <a:rPr kumimoji="1" lang="ja-JP" altLang="en-US" sz="1400">
              <a:solidFill>
                <a:schemeClr val="bg1"/>
              </a:solidFill>
            </a:rPr>
            <a:t>。</a:t>
          </a:r>
          <a:endParaRPr kumimoji="1" lang="en-US" altLang="ja-JP" sz="1400">
            <a:solidFill>
              <a:schemeClr val="bg1"/>
            </a:solidFill>
          </a:endParaRPr>
        </a:p>
        <a:p>
          <a:r>
            <a:rPr kumimoji="1" lang="ja-JP" altLang="en-US" sz="1400">
              <a:solidFill>
                <a:schemeClr val="bg1"/>
              </a:solidFill>
            </a:rPr>
            <a:t>画像は</a:t>
          </a:r>
          <a:r>
            <a:rPr kumimoji="1" lang="en-US" altLang="ja-JP" sz="1400">
              <a:solidFill>
                <a:schemeClr val="bg1"/>
              </a:solidFill>
            </a:rPr>
            <a:t>H4</a:t>
          </a:r>
        </a:p>
      </xdr:txBody>
    </xdr:sp>
    <xdr:clientData/>
  </xdr:oneCellAnchor>
  <xdr:twoCellAnchor>
    <xdr:from>
      <xdr:col>5</xdr:col>
      <xdr:colOff>547687</xdr:colOff>
      <xdr:row>323</xdr:row>
      <xdr:rowOff>107156</xdr:rowOff>
    </xdr:from>
    <xdr:to>
      <xdr:col>14</xdr:col>
      <xdr:colOff>416720</xdr:colOff>
      <xdr:row>334</xdr:row>
      <xdr:rowOff>107157</xdr:rowOff>
    </xdr:to>
    <xdr:cxnSp macro="">
      <xdr:nvCxnSpPr>
        <xdr:cNvPr id="58" name="直線矢印コネクタ 57"/>
        <xdr:cNvCxnSpPr/>
      </xdr:nvCxnSpPr>
      <xdr:spPr>
        <a:xfrm>
          <a:off x="4000500" y="53947219"/>
          <a:ext cx="6084095" cy="1833563"/>
        </a:xfrm>
        <a:prstGeom prst="straightConnector1">
          <a:avLst/>
        </a:prstGeom>
        <a:ln w="1905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21</xdr:col>
      <xdr:colOff>0</xdr:colOff>
      <xdr:row>317</xdr:row>
      <xdr:rowOff>0</xdr:rowOff>
    </xdr:from>
    <xdr:to>
      <xdr:col>39</xdr:col>
      <xdr:colOff>666750</xdr:colOff>
      <xdr:row>359</xdr:row>
      <xdr:rowOff>114300</xdr:rowOff>
    </xdr:to>
    <xdr:pic>
      <xdr:nvPicPr>
        <xdr:cNvPr id="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4401800" y="5434965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19</xdr:col>
      <xdr:colOff>0</xdr:colOff>
      <xdr:row>323</xdr:row>
      <xdr:rowOff>0</xdr:rowOff>
    </xdr:from>
    <xdr:to>
      <xdr:col>20</xdr:col>
      <xdr:colOff>635000</xdr:colOff>
      <xdr:row>323</xdr:row>
      <xdr:rowOff>4762</xdr:rowOff>
    </xdr:to>
    <xdr:cxnSp macro="">
      <xdr:nvCxnSpPr>
        <xdr:cNvPr id="60" name="直線矢印コネクタ 59"/>
        <xdr:cNvCxnSpPr/>
      </xdr:nvCxnSpPr>
      <xdr:spPr>
        <a:xfrm flipV="1">
          <a:off x="13120688" y="53840063"/>
          <a:ext cx="1325562" cy="4762"/>
        </a:xfrm>
        <a:prstGeom prst="straightConnector1">
          <a:avLst/>
        </a:prstGeom>
        <a:ln w="63500">
          <a:solidFill>
            <a:srgbClr val="00206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90487</xdr:colOff>
      <xdr:row>332</xdr:row>
      <xdr:rowOff>57150</xdr:rowOff>
    </xdr:from>
    <xdr:to>
      <xdr:col>34</xdr:col>
      <xdr:colOff>321468</xdr:colOff>
      <xdr:row>334</xdr:row>
      <xdr:rowOff>154782</xdr:rowOff>
    </xdr:to>
    <xdr:sp macro="" textlink="">
      <xdr:nvSpPr>
        <xdr:cNvPr id="61" name="円/楕円 60"/>
        <xdr:cNvSpPr/>
      </xdr:nvSpPr>
      <xdr:spPr>
        <a:xfrm>
          <a:off x="23569612" y="55397400"/>
          <a:ext cx="230981" cy="431007"/>
        </a:xfrm>
        <a:prstGeom prst="ellipse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30</xdr:col>
      <xdr:colOff>280987</xdr:colOff>
      <xdr:row>318</xdr:row>
      <xdr:rowOff>35720</xdr:rowOff>
    </xdr:from>
    <xdr:ext cx="3845720" cy="1569242"/>
    <xdr:sp macro="" textlink="">
      <xdr:nvSpPr>
        <xdr:cNvPr id="63" name="テキスト ボックス 62"/>
        <xdr:cNvSpPr txBox="1"/>
      </xdr:nvSpPr>
      <xdr:spPr>
        <a:xfrm>
          <a:off x="20997862" y="53042345"/>
          <a:ext cx="3845720" cy="1569242"/>
        </a:xfrm>
        <a:prstGeom prst="rect">
          <a:avLst/>
        </a:prstGeom>
        <a:solidFill>
          <a:schemeClr val="accent1"/>
        </a:solidFill>
        <a:ln w="19050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kumimoji="1" lang="en-US" altLang="ja-JP" sz="1400" b="1" u="sng">
              <a:solidFill>
                <a:schemeClr val="bg1"/>
              </a:solidFill>
            </a:rPr>
            <a:t>TradeNumber : 66</a:t>
          </a:r>
        </a:p>
        <a:p>
          <a:r>
            <a:rPr kumimoji="1" lang="ja-JP" altLang="en-US" sz="1400">
              <a:solidFill>
                <a:schemeClr val="bg1"/>
              </a:solidFill>
            </a:rPr>
            <a:t>上髭</a:t>
          </a:r>
          <a:r>
            <a:rPr kumimoji="1" lang="en-US" altLang="ja-JP" sz="1400">
              <a:solidFill>
                <a:schemeClr val="bg1"/>
              </a:solidFill>
            </a:rPr>
            <a:t>PB</a:t>
          </a:r>
          <a:r>
            <a:rPr kumimoji="1" lang="ja-JP" altLang="en-US" sz="1400">
              <a:solidFill>
                <a:schemeClr val="bg1"/>
              </a:solidFill>
            </a:rPr>
            <a:t>の</a:t>
          </a:r>
          <a:r>
            <a:rPr kumimoji="1" lang="en-US" altLang="ja-JP" sz="1400">
              <a:solidFill>
                <a:schemeClr val="bg1"/>
              </a:solidFill>
            </a:rPr>
            <a:t>L</a:t>
          </a:r>
          <a:r>
            <a:rPr kumimoji="1" lang="ja-JP" altLang="en-US" sz="1400">
              <a:solidFill>
                <a:schemeClr val="bg1"/>
              </a:solidFill>
            </a:rPr>
            <a:t>割れで</a:t>
          </a:r>
          <a:r>
            <a:rPr kumimoji="1" lang="en-US" altLang="ja-JP" sz="1400">
              <a:solidFill>
                <a:schemeClr val="bg1"/>
              </a:solidFill>
            </a:rPr>
            <a:t>entry</a:t>
          </a:r>
          <a:r>
            <a:rPr kumimoji="1" lang="ja-JP" altLang="en-US" sz="1400">
              <a:solidFill>
                <a:schemeClr val="bg1"/>
              </a:solidFill>
            </a:rPr>
            <a:t>。その後、直近</a:t>
          </a:r>
          <a:r>
            <a:rPr kumimoji="1" lang="en-US" altLang="ja-JP" sz="1400">
              <a:solidFill>
                <a:schemeClr val="bg1"/>
              </a:solidFill>
            </a:rPr>
            <a:t>L</a:t>
          </a:r>
          <a:r>
            <a:rPr kumimoji="1" lang="ja-JP" altLang="en-US" sz="1400">
              <a:solidFill>
                <a:schemeClr val="bg1"/>
              </a:solidFill>
            </a:rPr>
            <a:t>を更新せず</a:t>
          </a:r>
          <a:r>
            <a:rPr kumimoji="1" lang="en-US" altLang="ja-JP" sz="1400">
              <a:solidFill>
                <a:schemeClr val="bg1"/>
              </a:solidFill>
            </a:rPr>
            <a:t>up</a:t>
          </a:r>
          <a:r>
            <a:rPr kumimoji="1" lang="ja-JP" altLang="en-US" sz="1400">
              <a:solidFill>
                <a:schemeClr val="bg1"/>
              </a:solidFill>
            </a:rPr>
            <a:t>。</a:t>
          </a:r>
          <a:r>
            <a:rPr kumimoji="1" lang="en-US" altLang="ja-JP" sz="1400" b="1">
              <a:solidFill>
                <a:schemeClr val="bg1"/>
              </a:solidFill>
            </a:rPr>
            <a:t>-37.1pips</a:t>
          </a:r>
          <a:r>
            <a:rPr kumimoji="1" lang="ja-JP" altLang="en-US" sz="1400">
              <a:solidFill>
                <a:schemeClr val="bg1"/>
              </a:solidFill>
            </a:rPr>
            <a:t>。</a:t>
          </a:r>
          <a:endParaRPr kumimoji="1" lang="en-US" altLang="ja-JP" sz="1400">
            <a:solidFill>
              <a:schemeClr val="bg1"/>
            </a:solidFill>
          </a:endParaRPr>
        </a:p>
        <a:p>
          <a:r>
            <a:rPr kumimoji="1" lang="en-US" altLang="ja-JP" sz="1400">
              <a:solidFill>
                <a:schemeClr val="bg1"/>
              </a:solidFill>
            </a:rPr>
            <a:t>UpDow</a:t>
          </a:r>
          <a:r>
            <a:rPr kumimoji="1" lang="ja-JP" altLang="en-US" sz="1400">
              <a:solidFill>
                <a:schemeClr val="bg1"/>
              </a:solidFill>
            </a:rPr>
            <a:t>になってしまった。</a:t>
          </a:r>
          <a:endParaRPr kumimoji="1" lang="en-US" altLang="ja-JP" sz="1400">
            <a:solidFill>
              <a:schemeClr val="bg1"/>
            </a:solidFill>
          </a:endParaRPr>
        </a:p>
        <a:p>
          <a:r>
            <a:rPr kumimoji="1" lang="en-US" altLang="ja-JP" sz="1400">
              <a:solidFill>
                <a:schemeClr val="bg1"/>
              </a:solidFill>
            </a:rPr>
            <a:t>entry</a:t>
          </a:r>
          <a:r>
            <a:rPr kumimoji="1" lang="ja-JP" altLang="en-US" sz="1400">
              <a:solidFill>
                <a:schemeClr val="bg1"/>
              </a:solidFill>
            </a:rPr>
            <a:t>するのであれば直近</a:t>
          </a:r>
          <a:r>
            <a:rPr kumimoji="1" lang="en-US" altLang="ja-JP" sz="1400">
              <a:solidFill>
                <a:schemeClr val="bg1"/>
              </a:solidFill>
            </a:rPr>
            <a:t>L</a:t>
          </a:r>
          <a:r>
            <a:rPr kumimoji="1" lang="ja-JP" altLang="en-US" sz="1400">
              <a:solidFill>
                <a:schemeClr val="bg1"/>
              </a:solidFill>
            </a:rPr>
            <a:t>割れにしないと理屈が合わない！！</a:t>
          </a:r>
          <a:endParaRPr kumimoji="1" lang="en-US" altLang="ja-JP" sz="1400">
            <a:solidFill>
              <a:schemeClr val="bg1"/>
            </a:solidFill>
          </a:endParaRPr>
        </a:p>
      </xdr:txBody>
    </xdr:sp>
    <xdr:clientData/>
  </xdr:oneCellAnchor>
  <xdr:twoCellAnchor>
    <xdr:from>
      <xdr:col>34</xdr:col>
      <xdr:colOff>297656</xdr:colOff>
      <xdr:row>327</xdr:row>
      <xdr:rowOff>119062</xdr:rowOff>
    </xdr:from>
    <xdr:to>
      <xdr:col>34</xdr:col>
      <xdr:colOff>404813</xdr:colOff>
      <xdr:row>331</xdr:row>
      <xdr:rowOff>154781</xdr:rowOff>
    </xdr:to>
    <xdr:cxnSp macro="">
      <xdr:nvCxnSpPr>
        <xdr:cNvPr id="64" name="直線矢印コネクタ 63"/>
        <xdr:cNvCxnSpPr/>
      </xdr:nvCxnSpPr>
      <xdr:spPr>
        <a:xfrm flipH="1">
          <a:off x="23776781" y="54625875"/>
          <a:ext cx="107157" cy="702469"/>
        </a:xfrm>
        <a:prstGeom prst="straightConnector1">
          <a:avLst/>
        </a:prstGeom>
        <a:ln w="1905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333375</xdr:colOff>
      <xdr:row>333</xdr:row>
      <xdr:rowOff>154780</xdr:rowOff>
    </xdr:from>
    <xdr:to>
      <xdr:col>34</xdr:col>
      <xdr:colOff>631031</xdr:colOff>
      <xdr:row>335</xdr:row>
      <xdr:rowOff>130968</xdr:rowOff>
    </xdr:to>
    <xdr:sp macro="" textlink="">
      <xdr:nvSpPr>
        <xdr:cNvPr id="66" name="円/楕円 65"/>
        <xdr:cNvSpPr/>
      </xdr:nvSpPr>
      <xdr:spPr>
        <a:xfrm>
          <a:off x="23812500" y="55661718"/>
          <a:ext cx="297656" cy="309563"/>
        </a:xfrm>
        <a:prstGeom prst="ellipse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34</xdr:col>
      <xdr:colOff>488156</xdr:colOff>
      <xdr:row>327</xdr:row>
      <xdr:rowOff>95250</xdr:rowOff>
    </xdr:from>
    <xdr:to>
      <xdr:col>34</xdr:col>
      <xdr:colOff>559595</xdr:colOff>
      <xdr:row>333</xdr:row>
      <xdr:rowOff>119062</xdr:rowOff>
    </xdr:to>
    <xdr:cxnSp macro="">
      <xdr:nvCxnSpPr>
        <xdr:cNvPr id="68" name="直線矢印コネクタ 67"/>
        <xdr:cNvCxnSpPr/>
      </xdr:nvCxnSpPr>
      <xdr:spPr>
        <a:xfrm flipH="1">
          <a:off x="23967281" y="54602063"/>
          <a:ext cx="71439" cy="1023937"/>
        </a:xfrm>
        <a:prstGeom prst="straightConnector1">
          <a:avLst/>
        </a:prstGeom>
        <a:ln w="1905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271481</xdr:colOff>
      <xdr:row>334</xdr:row>
      <xdr:rowOff>33339</xdr:rowOff>
    </xdr:from>
    <xdr:to>
      <xdr:col>33</xdr:col>
      <xdr:colOff>569137</xdr:colOff>
      <xdr:row>336</xdr:row>
      <xdr:rowOff>9527</xdr:rowOff>
    </xdr:to>
    <xdr:sp macro="" textlink="">
      <xdr:nvSpPr>
        <xdr:cNvPr id="72" name="円/楕円 71"/>
        <xdr:cNvSpPr/>
      </xdr:nvSpPr>
      <xdr:spPr>
        <a:xfrm>
          <a:off x="23060044" y="55706964"/>
          <a:ext cx="297656" cy="309563"/>
        </a:xfrm>
        <a:prstGeom prst="ellipse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362</xdr:row>
      <xdr:rowOff>0</xdr:rowOff>
    </xdr:from>
    <xdr:to>
      <xdr:col>18</xdr:col>
      <xdr:colOff>666750</xdr:colOff>
      <xdr:row>404</xdr:row>
      <xdr:rowOff>114300</xdr:rowOff>
    </xdr:to>
    <xdr:pic>
      <xdr:nvPicPr>
        <xdr:cNvPr id="204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620649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10</xdr:col>
      <xdr:colOff>571500</xdr:colOff>
      <xdr:row>364</xdr:row>
      <xdr:rowOff>33337</xdr:rowOff>
    </xdr:from>
    <xdr:ext cx="3845720" cy="1133475"/>
    <xdr:sp macro="" textlink="">
      <xdr:nvSpPr>
        <xdr:cNvPr id="70" name="テキスト ボックス 69"/>
        <xdr:cNvSpPr txBox="1"/>
      </xdr:nvSpPr>
      <xdr:spPr>
        <a:xfrm>
          <a:off x="7477125" y="60707587"/>
          <a:ext cx="3845720" cy="1133475"/>
        </a:xfrm>
        <a:prstGeom prst="rect">
          <a:avLst/>
        </a:prstGeom>
        <a:solidFill>
          <a:schemeClr val="accent1"/>
        </a:solidFill>
        <a:ln w="19050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kumimoji="1" lang="en-US" altLang="ja-JP" sz="1400" b="1" u="sng">
              <a:solidFill>
                <a:schemeClr val="bg1"/>
              </a:solidFill>
            </a:rPr>
            <a:t>TradeNumber : 67</a:t>
          </a:r>
        </a:p>
        <a:p>
          <a:r>
            <a:rPr kumimoji="1" lang="en-US" altLang="ja-JP" sz="1400">
              <a:solidFill>
                <a:schemeClr val="bg1"/>
              </a:solidFill>
            </a:rPr>
            <a:t>EURJPY</a:t>
          </a:r>
          <a:r>
            <a:rPr kumimoji="1" lang="ja-JP" altLang="en-US" sz="1400">
              <a:solidFill>
                <a:schemeClr val="bg1"/>
              </a:solidFill>
            </a:rPr>
            <a:t>　　</a:t>
          </a:r>
          <a:r>
            <a:rPr kumimoji="1" lang="en-US" altLang="ja-JP" sz="1400">
              <a:solidFill>
                <a:schemeClr val="bg1"/>
              </a:solidFill>
            </a:rPr>
            <a:t>SHORT     H1</a:t>
          </a:r>
        </a:p>
        <a:p>
          <a:r>
            <a:rPr kumimoji="1" lang="en-US" altLang="ja-JP" sz="1400">
              <a:solidFill>
                <a:schemeClr val="bg1"/>
              </a:solidFill>
            </a:rPr>
            <a:t>Range</a:t>
          </a:r>
          <a:r>
            <a:rPr kumimoji="1" lang="ja-JP" altLang="en-US" sz="1400">
              <a:solidFill>
                <a:schemeClr val="bg1"/>
              </a:solidFill>
            </a:rPr>
            <a:t>下限割れで</a:t>
          </a:r>
          <a:r>
            <a:rPr kumimoji="1" lang="en-US" altLang="ja-JP" sz="1400">
              <a:solidFill>
                <a:schemeClr val="bg1"/>
              </a:solidFill>
            </a:rPr>
            <a:t>entry</a:t>
          </a:r>
          <a:r>
            <a:rPr kumimoji="1" lang="ja-JP" altLang="en-US" sz="1400">
              <a:solidFill>
                <a:schemeClr val="bg1"/>
              </a:solidFill>
            </a:rPr>
            <a:t>、</a:t>
          </a:r>
          <a:r>
            <a:rPr kumimoji="1" lang="en-US" altLang="ja-JP" sz="1400">
              <a:solidFill>
                <a:schemeClr val="bg1"/>
              </a:solidFill>
            </a:rPr>
            <a:t>Range</a:t>
          </a:r>
          <a:r>
            <a:rPr kumimoji="1" lang="ja-JP" altLang="en-US" sz="1400">
              <a:solidFill>
                <a:schemeClr val="bg1"/>
              </a:solidFill>
            </a:rPr>
            <a:t>上限で</a:t>
          </a:r>
          <a:r>
            <a:rPr kumimoji="1" lang="en-US" altLang="ja-JP" sz="1400">
              <a:solidFill>
                <a:schemeClr val="bg1"/>
              </a:solidFill>
            </a:rPr>
            <a:t>LC</a:t>
          </a:r>
        </a:p>
        <a:p>
          <a:r>
            <a:rPr kumimoji="1" lang="en-US" altLang="ja-JP" sz="1400">
              <a:solidFill>
                <a:schemeClr val="bg1"/>
              </a:solidFill>
            </a:rPr>
            <a:t>Target(Supp)</a:t>
          </a:r>
          <a:r>
            <a:rPr kumimoji="1" lang="ja-JP" altLang="en-US" sz="1400">
              <a:solidFill>
                <a:schemeClr val="bg1"/>
              </a:solidFill>
            </a:rPr>
            <a:t>で</a:t>
          </a:r>
          <a:r>
            <a:rPr kumimoji="1" lang="en-US" altLang="ja-JP" sz="1400">
              <a:solidFill>
                <a:schemeClr val="bg1"/>
              </a:solidFill>
            </a:rPr>
            <a:t>exit</a:t>
          </a:r>
          <a:r>
            <a:rPr kumimoji="1" lang="ja-JP" altLang="en-US" sz="1400">
              <a:solidFill>
                <a:schemeClr val="bg1"/>
              </a:solidFill>
            </a:rPr>
            <a:t>　　　</a:t>
          </a:r>
          <a:r>
            <a:rPr kumimoji="1" lang="en-US" altLang="ja-JP" sz="1400">
              <a:solidFill>
                <a:schemeClr val="bg1"/>
              </a:solidFill>
            </a:rPr>
            <a:t>+106pips</a:t>
          </a:r>
        </a:p>
      </xdr:txBody>
    </xdr:sp>
    <xdr:clientData/>
  </xdr:oneCellAnchor>
  <xdr:twoCellAnchor>
    <xdr:from>
      <xdr:col>12</xdr:col>
      <xdr:colOff>202406</xdr:colOff>
      <xdr:row>371</xdr:row>
      <xdr:rowOff>11906</xdr:rowOff>
    </xdr:from>
    <xdr:to>
      <xdr:col>13</xdr:col>
      <xdr:colOff>678656</xdr:colOff>
      <xdr:row>384</xdr:row>
      <xdr:rowOff>23813</xdr:rowOff>
    </xdr:to>
    <xdr:cxnSp macro="">
      <xdr:nvCxnSpPr>
        <xdr:cNvPr id="71" name="直線矢印コネクタ 70"/>
        <xdr:cNvCxnSpPr/>
      </xdr:nvCxnSpPr>
      <xdr:spPr>
        <a:xfrm>
          <a:off x="8489156" y="61852969"/>
          <a:ext cx="1166813" cy="2178844"/>
        </a:xfrm>
        <a:prstGeom prst="straightConnector1">
          <a:avLst/>
        </a:prstGeom>
        <a:ln w="1905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190500</xdr:colOff>
      <xdr:row>371</xdr:row>
      <xdr:rowOff>23812</xdr:rowOff>
    </xdr:from>
    <xdr:to>
      <xdr:col>14</xdr:col>
      <xdr:colOff>107156</xdr:colOff>
      <xdr:row>382</xdr:row>
      <xdr:rowOff>95250</xdr:rowOff>
    </xdr:to>
    <xdr:cxnSp macro="">
      <xdr:nvCxnSpPr>
        <xdr:cNvPr id="76" name="直線矢印コネクタ 75"/>
        <xdr:cNvCxnSpPr/>
      </xdr:nvCxnSpPr>
      <xdr:spPr>
        <a:xfrm>
          <a:off x="8477250" y="61864875"/>
          <a:ext cx="1297781" cy="1905000"/>
        </a:xfrm>
        <a:prstGeom prst="straightConnector1">
          <a:avLst/>
        </a:prstGeom>
        <a:ln w="1905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202406</xdr:colOff>
      <xdr:row>371</xdr:row>
      <xdr:rowOff>35718</xdr:rowOff>
    </xdr:from>
    <xdr:to>
      <xdr:col>15</xdr:col>
      <xdr:colOff>464343</xdr:colOff>
      <xdr:row>390</xdr:row>
      <xdr:rowOff>83344</xdr:rowOff>
    </xdr:to>
    <xdr:cxnSp macro="">
      <xdr:nvCxnSpPr>
        <xdr:cNvPr id="81" name="直線矢印コネクタ 80"/>
        <xdr:cNvCxnSpPr/>
      </xdr:nvCxnSpPr>
      <xdr:spPr>
        <a:xfrm flipH="1">
          <a:off x="10560844" y="61876781"/>
          <a:ext cx="261937" cy="3214688"/>
        </a:xfrm>
        <a:prstGeom prst="straightConnector1">
          <a:avLst/>
        </a:prstGeom>
        <a:ln w="1905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9"/>
  <sheetViews>
    <sheetView zoomScaleSheetLayoutView="100" workbookViewId="0">
      <selection activeCell="A17" sqref="A17"/>
    </sheetView>
  </sheetViews>
  <sheetFormatPr defaultColWidth="10" defaultRowHeight="13.5" customHeight="1"/>
  <cols>
    <col min="1" max="1" width="22.75" customWidth="1"/>
    <col min="2" max="2" width="13.625" customWidth="1"/>
    <col min="3" max="3" width="13.875" customWidth="1"/>
    <col min="4" max="4" width="15.625" customWidth="1"/>
    <col min="5" max="5" width="12.375" customWidth="1"/>
    <col min="6" max="6" width="12.25" customWidth="1"/>
    <col min="7" max="7" width="13.25" customWidth="1"/>
    <col min="9" max="9" width="15.75" customWidth="1"/>
    <col min="10" max="10" width="13.125" customWidth="1"/>
    <col min="11" max="11" width="15.5" customWidth="1"/>
    <col min="12" max="12" width="17.625" customWidth="1"/>
  </cols>
  <sheetData>
    <row r="1" spans="1:12" ht="19.5" customHeight="1">
      <c r="A1" s="117"/>
      <c r="B1" s="179" t="s">
        <v>0</v>
      </c>
      <c r="C1" s="180"/>
      <c r="D1" s="181"/>
      <c r="E1" s="116"/>
      <c r="F1" s="182" t="s">
        <v>0</v>
      </c>
      <c r="G1" s="183"/>
      <c r="H1" s="118"/>
    </row>
    <row r="2" spans="1:12" ht="25.5" customHeight="1">
      <c r="A2" s="119" t="s">
        <v>1</v>
      </c>
      <c r="B2" s="184">
        <v>3000000</v>
      </c>
      <c r="C2" s="184"/>
      <c r="D2" s="184"/>
      <c r="E2" s="60" t="s">
        <v>2</v>
      </c>
      <c r="F2" s="185">
        <v>41609</v>
      </c>
      <c r="G2" s="186"/>
      <c r="H2" s="42"/>
      <c r="I2" s="42"/>
    </row>
    <row r="3" spans="1:12" ht="27" customHeight="1">
      <c r="A3" s="43" t="s">
        <v>3</v>
      </c>
      <c r="B3" s="187">
        <f>SUM(B2+D17)</f>
        <v>3020000</v>
      </c>
      <c r="C3" s="187"/>
      <c r="D3" s="188"/>
      <c r="E3" s="44" t="s">
        <v>4</v>
      </c>
      <c r="F3" s="45">
        <v>0.02</v>
      </c>
      <c r="G3" s="46">
        <f>(B2-D17)*F3</f>
        <v>59600</v>
      </c>
      <c r="H3" s="48" t="s">
        <v>5</v>
      </c>
      <c r="I3" s="49">
        <f>(B3-B2)</f>
        <v>20000</v>
      </c>
      <c r="K3" s="120"/>
    </row>
    <row r="4" spans="1:12" s="99" customFormat="1" ht="17.25" customHeight="1">
      <c r="A4" s="94"/>
      <c r="B4" s="95"/>
      <c r="C4" s="95"/>
      <c r="D4" s="95"/>
      <c r="E4" s="96"/>
      <c r="F4" s="115" t="s">
        <v>0</v>
      </c>
      <c r="G4" s="95"/>
      <c r="H4" s="97"/>
      <c r="I4" s="98"/>
    </row>
    <row r="5" spans="1:12" ht="39" customHeight="1">
      <c r="A5" s="100"/>
      <c r="B5" s="101"/>
      <c r="C5" s="101"/>
      <c r="D5" s="113"/>
      <c r="E5" s="102"/>
      <c r="F5" s="114"/>
      <c r="G5" s="101"/>
      <c r="H5" s="103"/>
      <c r="I5" s="104"/>
      <c r="J5" s="105"/>
      <c r="K5" s="106"/>
      <c r="L5" s="106"/>
    </row>
    <row r="6" spans="1:12" ht="21" customHeight="1">
      <c r="A6" s="110" t="s">
        <v>6</v>
      </c>
      <c r="B6" s="108" t="s">
        <v>0</v>
      </c>
      <c r="C6" s="108" t="s">
        <v>0</v>
      </c>
      <c r="D6" s="109"/>
      <c r="E6" s="108" t="s">
        <v>0</v>
      </c>
      <c r="F6" s="111" t="s">
        <v>0</v>
      </c>
      <c r="G6" s="47"/>
      <c r="H6" s="42"/>
      <c r="I6" s="42"/>
      <c r="L6" s="107"/>
    </row>
    <row r="7" spans="1:12" ht="28.5">
      <c r="A7" s="112" t="s">
        <v>7</v>
      </c>
      <c r="B7" s="54" t="s">
        <v>8</v>
      </c>
      <c r="C7" s="55" t="s">
        <v>9</v>
      </c>
      <c r="D7" s="56" t="s">
        <v>10</v>
      </c>
      <c r="E7" s="57" t="s">
        <v>11</v>
      </c>
      <c r="F7" s="55" t="s">
        <v>12</v>
      </c>
      <c r="G7" s="57" t="s">
        <v>13</v>
      </c>
      <c r="H7" s="56" t="s">
        <v>14</v>
      </c>
      <c r="I7" s="58" t="s">
        <v>15</v>
      </c>
      <c r="J7" s="61" t="s">
        <v>16</v>
      </c>
      <c r="K7" s="55" t="s">
        <v>17</v>
      </c>
      <c r="L7" s="59" t="s">
        <v>18</v>
      </c>
    </row>
    <row r="8" spans="1:12" ht="24.95" customHeight="1">
      <c r="A8" s="51">
        <v>42095</v>
      </c>
      <c r="B8" s="62">
        <v>20000</v>
      </c>
      <c r="C8" s="63"/>
      <c r="D8" s="81">
        <f t="shared" ref="D8:D16" si="0">SUM(B8-C8)</f>
        <v>20000</v>
      </c>
      <c r="E8" s="64"/>
      <c r="F8" s="65"/>
      <c r="G8" s="64">
        <f t="shared" ref="G8:G16" si="1">SUM(E8+F8)</f>
        <v>0</v>
      </c>
      <c r="H8" s="66" t="e">
        <f t="shared" ref="H8:H16" si="2">E8/G8</f>
        <v>#DIV/0!</v>
      </c>
      <c r="I8" s="67" t="e">
        <f t="shared" ref="I8:I16" si="3">B8/E8</f>
        <v>#DIV/0!</v>
      </c>
      <c r="J8" s="67" t="e">
        <f t="shared" ref="J8:J16" si="4">C8/F8</f>
        <v>#DIV/0!</v>
      </c>
      <c r="K8" s="68" t="e">
        <f t="shared" ref="K8:K16" si="5">I8/J8</f>
        <v>#DIV/0!</v>
      </c>
      <c r="L8" s="69" t="e">
        <f t="shared" ref="L8:L16" si="6">B8/C8</f>
        <v>#DIV/0!</v>
      </c>
    </row>
    <row r="9" spans="1:12" ht="24.95" customHeight="1">
      <c r="A9" s="52">
        <v>42125</v>
      </c>
      <c r="B9" s="70"/>
      <c r="C9" s="71"/>
      <c r="D9" s="81">
        <f t="shared" si="0"/>
        <v>0</v>
      </c>
      <c r="E9" s="72"/>
      <c r="F9" s="72"/>
      <c r="G9" s="64">
        <f t="shared" si="1"/>
        <v>0</v>
      </c>
      <c r="H9" s="66" t="e">
        <f t="shared" si="2"/>
        <v>#DIV/0!</v>
      </c>
      <c r="I9" s="67" t="e">
        <f t="shared" si="3"/>
        <v>#DIV/0!</v>
      </c>
      <c r="J9" s="67" t="e">
        <f t="shared" si="4"/>
        <v>#DIV/0!</v>
      </c>
      <c r="K9" s="68" t="e">
        <f t="shared" si="5"/>
        <v>#DIV/0!</v>
      </c>
      <c r="L9" s="69" t="e">
        <f t="shared" si="6"/>
        <v>#DIV/0!</v>
      </c>
    </row>
    <row r="10" spans="1:12" ht="24.95" customHeight="1">
      <c r="A10" s="51">
        <v>42156</v>
      </c>
      <c r="B10" s="70"/>
      <c r="C10" s="71"/>
      <c r="D10" s="81">
        <f t="shared" si="0"/>
        <v>0</v>
      </c>
      <c r="E10" s="72"/>
      <c r="F10" s="72"/>
      <c r="G10" s="64">
        <f t="shared" si="1"/>
        <v>0</v>
      </c>
      <c r="H10" s="66" t="e">
        <f t="shared" si="2"/>
        <v>#DIV/0!</v>
      </c>
      <c r="I10" s="67" t="e">
        <f t="shared" si="3"/>
        <v>#DIV/0!</v>
      </c>
      <c r="J10" s="67" t="e">
        <f t="shared" si="4"/>
        <v>#DIV/0!</v>
      </c>
      <c r="K10" s="68" t="e">
        <f t="shared" si="5"/>
        <v>#DIV/0!</v>
      </c>
      <c r="L10" s="69" t="e">
        <f t="shared" si="6"/>
        <v>#DIV/0!</v>
      </c>
    </row>
    <row r="11" spans="1:12" ht="24.95" customHeight="1">
      <c r="A11" s="52">
        <v>42186</v>
      </c>
      <c r="B11" s="70"/>
      <c r="C11" s="71"/>
      <c r="D11" s="81">
        <f t="shared" si="0"/>
        <v>0</v>
      </c>
      <c r="E11" s="72"/>
      <c r="F11" s="72"/>
      <c r="G11" s="64">
        <f t="shared" si="1"/>
        <v>0</v>
      </c>
      <c r="H11" s="66" t="e">
        <f t="shared" si="2"/>
        <v>#DIV/0!</v>
      </c>
      <c r="I11" s="67" t="e">
        <f t="shared" si="3"/>
        <v>#DIV/0!</v>
      </c>
      <c r="J11" s="67" t="e">
        <f t="shared" si="4"/>
        <v>#DIV/0!</v>
      </c>
      <c r="K11" s="68" t="e">
        <f t="shared" si="5"/>
        <v>#DIV/0!</v>
      </c>
      <c r="L11" s="69" t="e">
        <f t="shared" si="6"/>
        <v>#DIV/0!</v>
      </c>
    </row>
    <row r="12" spans="1:12" ht="24.95" customHeight="1">
      <c r="A12" s="51">
        <v>42217</v>
      </c>
      <c r="B12" s="70"/>
      <c r="C12" s="63"/>
      <c r="D12" s="81">
        <f t="shared" si="0"/>
        <v>0</v>
      </c>
      <c r="E12" s="72"/>
      <c r="F12" s="72"/>
      <c r="G12" s="64">
        <f t="shared" si="1"/>
        <v>0</v>
      </c>
      <c r="H12" s="66" t="e">
        <f t="shared" si="2"/>
        <v>#DIV/0!</v>
      </c>
      <c r="I12" s="67" t="e">
        <f t="shared" si="3"/>
        <v>#DIV/0!</v>
      </c>
      <c r="J12" s="67" t="e">
        <f t="shared" si="4"/>
        <v>#DIV/0!</v>
      </c>
      <c r="K12" s="68" t="e">
        <f t="shared" si="5"/>
        <v>#DIV/0!</v>
      </c>
      <c r="L12" s="69" t="e">
        <f t="shared" si="6"/>
        <v>#DIV/0!</v>
      </c>
    </row>
    <row r="13" spans="1:12" ht="24.95" customHeight="1">
      <c r="A13" s="52">
        <v>42248</v>
      </c>
      <c r="B13" s="70"/>
      <c r="C13" s="71"/>
      <c r="D13" s="81">
        <f t="shared" si="0"/>
        <v>0</v>
      </c>
      <c r="E13" s="72"/>
      <c r="F13" s="72"/>
      <c r="G13" s="64">
        <f t="shared" si="1"/>
        <v>0</v>
      </c>
      <c r="H13" s="66" t="e">
        <f t="shared" si="2"/>
        <v>#DIV/0!</v>
      </c>
      <c r="I13" s="67" t="e">
        <f t="shared" si="3"/>
        <v>#DIV/0!</v>
      </c>
      <c r="J13" s="67" t="e">
        <f t="shared" si="4"/>
        <v>#DIV/0!</v>
      </c>
      <c r="K13" s="68" t="e">
        <f t="shared" si="5"/>
        <v>#DIV/0!</v>
      </c>
      <c r="L13" s="69" t="e">
        <f t="shared" si="6"/>
        <v>#DIV/0!</v>
      </c>
    </row>
    <row r="14" spans="1:12" ht="24.95" customHeight="1">
      <c r="A14" s="51">
        <v>42278</v>
      </c>
      <c r="B14" s="70"/>
      <c r="C14" s="63"/>
      <c r="D14" s="81">
        <f t="shared" si="0"/>
        <v>0</v>
      </c>
      <c r="E14" s="72"/>
      <c r="F14" s="72"/>
      <c r="G14" s="64">
        <f t="shared" si="1"/>
        <v>0</v>
      </c>
      <c r="H14" s="66" t="e">
        <f t="shared" si="2"/>
        <v>#DIV/0!</v>
      </c>
      <c r="I14" s="67" t="e">
        <f t="shared" si="3"/>
        <v>#DIV/0!</v>
      </c>
      <c r="J14" s="67" t="e">
        <f t="shared" si="4"/>
        <v>#DIV/0!</v>
      </c>
      <c r="K14" s="68" t="e">
        <f t="shared" si="5"/>
        <v>#DIV/0!</v>
      </c>
      <c r="L14" s="69" t="e">
        <f t="shared" si="6"/>
        <v>#DIV/0!</v>
      </c>
    </row>
    <row r="15" spans="1:12" ht="24.95" customHeight="1">
      <c r="A15" s="52">
        <v>42309</v>
      </c>
      <c r="B15" s="70"/>
      <c r="C15" s="63"/>
      <c r="D15" s="81">
        <f t="shared" si="0"/>
        <v>0</v>
      </c>
      <c r="E15" s="72"/>
      <c r="F15" s="72"/>
      <c r="G15" s="64">
        <f t="shared" si="1"/>
        <v>0</v>
      </c>
      <c r="H15" s="66" t="e">
        <f t="shared" si="2"/>
        <v>#DIV/0!</v>
      </c>
      <c r="I15" s="67" t="e">
        <f t="shared" si="3"/>
        <v>#DIV/0!</v>
      </c>
      <c r="J15" s="67" t="e">
        <f t="shared" si="4"/>
        <v>#DIV/0!</v>
      </c>
      <c r="K15" s="68" t="e">
        <f t="shared" si="5"/>
        <v>#DIV/0!</v>
      </c>
      <c r="L15" s="69" t="e">
        <f t="shared" si="6"/>
        <v>#DIV/0!</v>
      </c>
    </row>
    <row r="16" spans="1:12" ht="24.95" customHeight="1">
      <c r="A16" s="53">
        <v>42339</v>
      </c>
      <c r="B16" s="73"/>
      <c r="C16" s="74"/>
      <c r="D16" s="82">
        <f t="shared" si="0"/>
        <v>0</v>
      </c>
      <c r="E16" s="75"/>
      <c r="F16" s="75"/>
      <c r="G16" s="76">
        <f t="shared" si="1"/>
        <v>0</v>
      </c>
      <c r="H16" s="77" t="e">
        <f t="shared" si="2"/>
        <v>#DIV/0!</v>
      </c>
      <c r="I16" s="78" t="e">
        <f t="shared" si="3"/>
        <v>#DIV/0!</v>
      </c>
      <c r="J16" s="78" t="e">
        <f t="shared" si="4"/>
        <v>#DIV/0!</v>
      </c>
      <c r="K16" s="79" t="e">
        <f t="shared" si="5"/>
        <v>#DIV/0!</v>
      </c>
      <c r="L16" s="80" t="e">
        <f t="shared" si="6"/>
        <v>#DIV/0!</v>
      </c>
    </row>
    <row r="17" spans="1:12" ht="24.95" customHeight="1">
      <c r="A17" s="83" t="s">
        <v>19</v>
      </c>
      <c r="B17" s="84">
        <f t="shared" ref="B17:G17" si="7">SUM(B8:B16)</f>
        <v>20000</v>
      </c>
      <c r="C17" s="85">
        <f t="shared" si="7"/>
        <v>0</v>
      </c>
      <c r="D17" s="86">
        <f t="shared" si="7"/>
        <v>20000</v>
      </c>
      <c r="E17" s="87">
        <f t="shared" si="7"/>
        <v>0</v>
      </c>
      <c r="F17" s="88">
        <f t="shared" si="7"/>
        <v>0</v>
      </c>
      <c r="G17" s="87">
        <f t="shared" si="7"/>
        <v>0</v>
      </c>
      <c r="H17" s="89" t="e">
        <f>AVERAGE(H8:H16)</f>
        <v>#DIV/0!</v>
      </c>
      <c r="I17" s="85" t="e">
        <f>AVERAGE(I8:I16)</f>
        <v>#DIV/0!</v>
      </c>
      <c r="J17" s="85" t="e">
        <f>AVERAGE(J8:J16)</f>
        <v>#DIV/0!</v>
      </c>
      <c r="K17" s="90" t="e">
        <f>AVERAGE(K8:K16)</f>
        <v>#DIV/0!</v>
      </c>
      <c r="L17" s="91" t="e">
        <f>AVERAGE(L8:L16)</f>
        <v>#DIV/0!</v>
      </c>
    </row>
    <row r="18" spans="1:12">
      <c r="A18" s="50"/>
      <c r="J18" s="92"/>
      <c r="K18" s="93" t="s">
        <v>20</v>
      </c>
      <c r="L18" s="93" t="s">
        <v>21</v>
      </c>
    </row>
    <row r="19" spans="1:12">
      <c r="A19" s="50"/>
    </row>
  </sheetData>
  <mergeCells count="5">
    <mergeCell ref="B1:D1"/>
    <mergeCell ref="F1:G1"/>
    <mergeCell ref="B2:D2"/>
    <mergeCell ref="F2:G2"/>
    <mergeCell ref="B3:D3"/>
  </mergeCells>
  <phoneticPr fontId="13"/>
  <pageMargins left="0.69861111111111107" right="0.69861111111111107" top="0.75" bottom="0.75" header="0.3" footer="0.3"/>
  <pageSetup paperSize="9" firstPageNumber="4294963191" orientation="portrait" horizontalDpi="1200" verticalDpi="1200" copies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2:AE119"/>
  <sheetViews>
    <sheetView workbookViewId="0">
      <pane xSplit="2" ySplit="3" topLeftCell="O68" activePane="bottomRight" state="frozen"/>
      <selection pane="topRight" activeCell="C1" sqref="C1"/>
      <selection pane="bottomLeft" activeCell="A4" sqref="A4"/>
      <selection pane="bottomRight" activeCell="X70" sqref="X70"/>
    </sheetView>
  </sheetViews>
  <sheetFormatPr defaultColWidth="10" defaultRowHeight="13.5"/>
  <cols>
    <col min="1" max="1" width="6.75" style="170" customWidth="1"/>
    <col min="2" max="3" width="9.625" customWidth="1"/>
    <col min="4" max="5" width="4.625" customWidth="1"/>
    <col min="6" max="6" width="7.125" customWidth="1"/>
    <col min="7" max="7" width="15.125" customWidth="1"/>
    <col min="8" max="8" width="12.125" customWidth="1"/>
    <col min="9" max="9" width="24.5" customWidth="1"/>
    <col min="10" max="10" width="6.875" customWidth="1"/>
    <col min="11" max="11" width="15.625" customWidth="1"/>
    <col min="12" max="13" width="13.125" customWidth="1"/>
    <col min="14" max="16" width="15" customWidth="1"/>
    <col min="17" max="17" width="6.25" customWidth="1"/>
    <col min="18" max="18" width="10.25" customWidth="1"/>
    <col min="19" max="19" width="9" customWidth="1"/>
    <col min="20" max="20" width="13.625" customWidth="1"/>
    <col min="21" max="21" width="25.5" customWidth="1"/>
    <col min="22" max="22" width="4.875" customWidth="1"/>
    <col min="25" max="27" width="15.875" customWidth="1"/>
    <col min="28" max="28" width="11.625" bestFit="1" customWidth="1"/>
    <col min="29" max="29" width="78.625" customWidth="1"/>
    <col min="30" max="30" width="45.125" customWidth="1"/>
    <col min="31" max="31" width="38.125" customWidth="1"/>
  </cols>
  <sheetData>
    <row r="2" spans="1:30" ht="14.25" thickBot="1">
      <c r="H2" s="141" t="s">
        <v>77</v>
      </c>
      <c r="I2" s="148">
        <v>1000000</v>
      </c>
      <c r="J2" s="141" t="s">
        <v>78</v>
      </c>
      <c r="K2" s="142"/>
      <c r="L2" s="142"/>
      <c r="M2" s="142"/>
      <c r="N2" s="142"/>
      <c r="O2" s="142"/>
      <c r="P2" s="142"/>
      <c r="Q2" s="142"/>
      <c r="R2" s="142"/>
      <c r="V2" s="156" t="s">
        <v>84</v>
      </c>
    </row>
    <row r="3" spans="1:30" ht="81.75" thickBot="1">
      <c r="A3" s="171" t="s">
        <v>343</v>
      </c>
      <c r="B3" s="36" t="s">
        <v>22</v>
      </c>
      <c r="C3" s="162" t="s">
        <v>145</v>
      </c>
      <c r="D3" s="158" t="s">
        <v>88</v>
      </c>
      <c r="E3" s="158" t="s">
        <v>89</v>
      </c>
      <c r="F3" s="158" t="s">
        <v>246</v>
      </c>
      <c r="G3" s="158" t="s">
        <v>188</v>
      </c>
      <c r="H3" s="158" t="s">
        <v>189</v>
      </c>
      <c r="I3" s="37" t="s">
        <v>23</v>
      </c>
      <c r="J3" s="137" t="s">
        <v>24</v>
      </c>
      <c r="K3" s="37" t="s">
        <v>25</v>
      </c>
      <c r="L3" s="37" t="s">
        <v>26</v>
      </c>
      <c r="M3" s="166" t="s">
        <v>250</v>
      </c>
      <c r="N3" s="135" t="s">
        <v>64</v>
      </c>
      <c r="O3" s="135" t="s">
        <v>74</v>
      </c>
      <c r="P3" s="135" t="s">
        <v>81</v>
      </c>
      <c r="Q3" s="137" t="s">
        <v>27</v>
      </c>
      <c r="R3" s="37" t="s">
        <v>28</v>
      </c>
      <c r="S3" s="37" t="s">
        <v>29</v>
      </c>
      <c r="T3" s="135" t="s">
        <v>63</v>
      </c>
      <c r="U3" s="37" t="s">
        <v>30</v>
      </c>
      <c r="V3" s="37" t="s">
        <v>31</v>
      </c>
      <c r="W3" s="158" t="s">
        <v>266</v>
      </c>
      <c r="X3" s="158" t="s">
        <v>90</v>
      </c>
      <c r="Y3" s="145" t="s">
        <v>75</v>
      </c>
      <c r="Z3" s="167" t="s">
        <v>298</v>
      </c>
      <c r="AA3" s="167" t="s">
        <v>299</v>
      </c>
      <c r="AB3" s="136" t="s">
        <v>66</v>
      </c>
      <c r="AC3" s="136" t="s">
        <v>67</v>
      </c>
      <c r="AD3" s="136" t="s">
        <v>184</v>
      </c>
    </row>
    <row r="4" spans="1:30" ht="81">
      <c r="A4" s="170">
        <v>1</v>
      </c>
      <c r="B4" s="168" t="s">
        <v>70</v>
      </c>
      <c r="C4" s="128"/>
      <c r="D4" s="128" t="s">
        <v>62</v>
      </c>
      <c r="E4" s="128">
        <v>2</v>
      </c>
      <c r="F4" s="128">
        <v>1</v>
      </c>
      <c r="G4" s="129">
        <f>($I$2*E4/100)/(ABS(L4-O4)*F4)</f>
        <v>188679.24528300329</v>
      </c>
      <c r="H4" s="129">
        <v>100000</v>
      </c>
      <c r="I4" s="144" t="s">
        <v>85</v>
      </c>
      <c r="J4" s="128" t="s">
        <v>92</v>
      </c>
      <c r="K4" s="128" t="s">
        <v>95</v>
      </c>
      <c r="L4">
        <v>124.01</v>
      </c>
      <c r="N4" s="128" t="s">
        <v>93</v>
      </c>
      <c r="O4">
        <v>123.904</v>
      </c>
      <c r="P4" s="128" t="s">
        <v>94</v>
      </c>
      <c r="Q4" s="128" t="s">
        <v>96</v>
      </c>
      <c r="R4" s="128" t="s">
        <v>97</v>
      </c>
      <c r="S4">
        <v>123.904</v>
      </c>
      <c r="T4" s="128" t="s">
        <v>94</v>
      </c>
      <c r="U4" s="143" t="s">
        <v>79</v>
      </c>
      <c r="V4" s="128">
        <v>-1</v>
      </c>
      <c r="W4" s="157"/>
      <c r="X4" s="157">
        <f>ABS(L4-S4)*100*V4</f>
        <v>-10.600000000000875</v>
      </c>
      <c r="Y4" s="130">
        <f>ABS(L4-S4)*H4*V4*F4</f>
        <v>-10600.000000000875</v>
      </c>
      <c r="Z4" s="130">
        <f>-400</f>
        <v>-400</v>
      </c>
      <c r="AA4" s="130">
        <f>Y4+Z4</f>
        <v>-11000.000000000875</v>
      </c>
      <c r="AB4" s="150">
        <f>I2+AA4</f>
        <v>988999.99999999907</v>
      </c>
      <c r="AC4" s="144" t="s">
        <v>98</v>
      </c>
    </row>
    <row r="5" spans="1:30" ht="54">
      <c r="A5" s="170">
        <f>A4+1</f>
        <v>2</v>
      </c>
      <c r="B5" s="168" t="s">
        <v>70</v>
      </c>
      <c r="C5" s="128"/>
      <c r="D5" s="128" t="s">
        <v>62</v>
      </c>
      <c r="E5" s="128">
        <v>2</v>
      </c>
      <c r="F5" s="128">
        <v>1</v>
      </c>
      <c r="G5" s="129">
        <f>(AB4*E5/100)/(ABS(L5-O5)*F5)</f>
        <v>37462.121212121776</v>
      </c>
      <c r="H5" s="129">
        <v>30000</v>
      </c>
      <c r="I5" s="144" t="s">
        <v>80</v>
      </c>
      <c r="J5" s="128" t="s">
        <v>99</v>
      </c>
      <c r="K5" s="128"/>
      <c r="L5">
        <v>124.19</v>
      </c>
      <c r="N5" s="128" t="s">
        <v>100</v>
      </c>
      <c r="O5">
        <v>123.66200000000001</v>
      </c>
      <c r="P5" t="s">
        <v>101</v>
      </c>
      <c r="Q5" s="128"/>
      <c r="R5" s="128"/>
      <c r="S5">
        <v>123.66200000000001</v>
      </c>
      <c r="T5" s="128"/>
      <c r="U5" s="143" t="s">
        <v>79</v>
      </c>
      <c r="V5" s="128">
        <v>-1</v>
      </c>
      <c r="W5" s="157"/>
      <c r="X5" s="157">
        <f t="shared" ref="X5:X38" si="0">ABS(L5-S5)*100*V5</f>
        <v>-52.799999999999159</v>
      </c>
      <c r="Y5" s="130">
        <f>ABS(L5-S5)*H5*V5*F5</f>
        <v>-15839.999999999747</v>
      </c>
      <c r="Z5" s="130">
        <f>-120+21</f>
        <v>-99</v>
      </c>
      <c r="AA5" s="130">
        <f>Y5+Z5</f>
        <v>-15938.999999999747</v>
      </c>
      <c r="AB5" s="150">
        <f>AB4+AA5</f>
        <v>973060.9999999993</v>
      </c>
      <c r="AC5" s="144" t="s">
        <v>102</v>
      </c>
    </row>
    <row r="6" spans="1:30" ht="54">
      <c r="A6" s="170">
        <f t="shared" ref="A6:A40" si="1">A5+1</f>
        <v>3</v>
      </c>
      <c r="B6" s="169" t="s">
        <v>127</v>
      </c>
      <c r="C6" s="132"/>
      <c r="D6" s="132" t="s">
        <v>128</v>
      </c>
      <c r="E6" s="132">
        <v>2</v>
      </c>
      <c r="F6" s="132">
        <v>1</v>
      </c>
      <c r="G6" s="129">
        <f t="shared" ref="G6:G13" si="2">(AB5*E6/100)/(ABS(L6-O6)*F6)</f>
        <v>28619.441176470282</v>
      </c>
      <c r="H6" s="129">
        <v>29000</v>
      </c>
      <c r="I6" s="144" t="s">
        <v>131</v>
      </c>
      <c r="J6" s="128" t="s">
        <v>69</v>
      </c>
      <c r="K6" s="132" t="s">
        <v>133</v>
      </c>
      <c r="L6">
        <v>191.63</v>
      </c>
      <c r="N6" s="132" t="s">
        <v>129</v>
      </c>
      <c r="O6">
        <v>192.31</v>
      </c>
      <c r="P6" s="132" t="s">
        <v>130</v>
      </c>
      <c r="Q6" s="128" t="s">
        <v>69</v>
      </c>
      <c r="R6" s="132" t="s">
        <v>134</v>
      </c>
      <c r="S6">
        <v>191.30699999999999</v>
      </c>
      <c r="T6" s="161" t="s">
        <v>135</v>
      </c>
      <c r="U6" s="143" t="s">
        <v>79</v>
      </c>
      <c r="V6" s="128">
        <v>1</v>
      </c>
      <c r="W6" s="157"/>
      <c r="X6" s="157">
        <f t="shared" si="0"/>
        <v>32.30000000000075</v>
      </c>
      <c r="Y6" s="130">
        <f t="shared" ref="Y6:Y39" si="3">ABS(L6-S6)*H6*V6*F6</f>
        <v>9367.0000000002183</v>
      </c>
      <c r="Z6" s="130">
        <v>-174</v>
      </c>
      <c r="AA6" s="130">
        <f t="shared" ref="AA6:AA39" si="4">Y6+Z6</f>
        <v>9193.0000000002183</v>
      </c>
      <c r="AB6" s="150">
        <f t="shared" ref="AB6:AB39" si="5">AB5+AA6</f>
        <v>982253.99999999953</v>
      </c>
      <c r="AC6" s="144" t="s">
        <v>132</v>
      </c>
    </row>
    <row r="7" spans="1:30" ht="27">
      <c r="A7" s="170">
        <f t="shared" si="1"/>
        <v>4</v>
      </c>
      <c r="B7" s="169" t="s">
        <v>127</v>
      </c>
      <c r="C7" s="132"/>
      <c r="D7" s="132" t="s">
        <v>65</v>
      </c>
      <c r="E7" s="132">
        <v>2</v>
      </c>
      <c r="F7" s="132">
        <v>1</v>
      </c>
      <c r="G7" s="129">
        <f t="shared" si="2"/>
        <v>77039.529411757452</v>
      </c>
      <c r="H7" s="129">
        <v>20000</v>
      </c>
      <c r="I7" s="144" t="s">
        <v>136</v>
      </c>
      <c r="J7" s="128" t="s">
        <v>69</v>
      </c>
      <c r="K7" s="132" t="s">
        <v>137</v>
      </c>
      <c r="L7">
        <v>191.49199999999999</v>
      </c>
      <c r="N7" s="132" t="s">
        <v>138</v>
      </c>
      <c r="O7">
        <v>191.74700000000001</v>
      </c>
      <c r="P7" s="132" t="s">
        <v>138</v>
      </c>
      <c r="Q7" s="128" t="s">
        <v>69</v>
      </c>
      <c r="R7" s="132" t="s">
        <v>139</v>
      </c>
      <c r="S7">
        <v>191.74799999999999</v>
      </c>
      <c r="T7" s="132" t="s">
        <v>138</v>
      </c>
      <c r="U7" s="143" t="s">
        <v>79</v>
      </c>
      <c r="V7" s="132">
        <v>-1</v>
      </c>
      <c r="W7" s="157"/>
      <c r="X7" s="157">
        <f t="shared" si="0"/>
        <v>-25.600000000000023</v>
      </c>
      <c r="Y7" s="130">
        <f t="shared" si="3"/>
        <v>-5120.0000000000045</v>
      </c>
      <c r="Z7" s="130">
        <v>-120</v>
      </c>
      <c r="AA7" s="130">
        <f t="shared" si="4"/>
        <v>-5240.0000000000045</v>
      </c>
      <c r="AB7" s="150">
        <f t="shared" si="5"/>
        <v>977013.99999999953</v>
      </c>
      <c r="AC7" s="144" t="s">
        <v>144</v>
      </c>
    </row>
    <row r="8" spans="1:30" ht="94.5">
      <c r="A8" s="170">
        <f t="shared" si="1"/>
        <v>5</v>
      </c>
      <c r="B8" s="169" t="s">
        <v>140</v>
      </c>
      <c r="C8" s="132">
        <v>4.2000000000000002E-4</v>
      </c>
      <c r="D8" s="132" t="s">
        <v>141</v>
      </c>
      <c r="E8" s="132">
        <v>2</v>
      </c>
      <c r="F8" s="132">
        <v>129.15</v>
      </c>
      <c r="G8" s="129">
        <f t="shared" si="2"/>
        <v>14087.440368950141</v>
      </c>
      <c r="H8" s="129">
        <v>15000</v>
      </c>
      <c r="I8" s="144" t="s">
        <v>87</v>
      </c>
      <c r="J8" s="132" t="s">
        <v>142</v>
      </c>
      <c r="K8" s="132" t="s">
        <v>154</v>
      </c>
      <c r="L8">
        <f>0.9632+C8</f>
        <v>0.96361999999999992</v>
      </c>
      <c r="N8" s="132" t="s">
        <v>143</v>
      </c>
      <c r="O8">
        <v>0.95287999999999995</v>
      </c>
      <c r="P8" s="132" t="s">
        <v>130</v>
      </c>
      <c r="Q8" s="132" t="s">
        <v>142</v>
      </c>
      <c r="R8" s="132" t="s">
        <v>182</v>
      </c>
      <c r="S8">
        <v>0.95965</v>
      </c>
      <c r="T8" s="161" t="s">
        <v>183</v>
      </c>
      <c r="U8" s="143" t="s">
        <v>79</v>
      </c>
      <c r="V8" s="132">
        <v>-1</v>
      </c>
      <c r="W8" s="157">
        <f>ABS(S8-L8)*10000*V8</f>
        <v>-39.699999999999179</v>
      </c>
      <c r="X8" s="157"/>
      <c r="Y8" s="130">
        <f t="shared" si="3"/>
        <v>-7690.8824999998415</v>
      </c>
      <c r="Z8" s="130">
        <f>-150+144</f>
        <v>-6</v>
      </c>
      <c r="AA8" s="130">
        <f t="shared" si="4"/>
        <v>-7696.8824999998415</v>
      </c>
      <c r="AB8" s="150">
        <f t="shared" si="5"/>
        <v>969317.1174999997</v>
      </c>
      <c r="AC8" s="144" t="s">
        <v>354</v>
      </c>
    </row>
    <row r="9" spans="1:30" ht="54">
      <c r="A9" s="170">
        <f t="shared" si="1"/>
        <v>6</v>
      </c>
      <c r="B9" s="169" t="s">
        <v>146</v>
      </c>
      <c r="C9" s="128">
        <v>6.0000000000000001E-3</v>
      </c>
      <c r="D9" s="132" t="s">
        <v>147</v>
      </c>
      <c r="E9" s="132">
        <v>2</v>
      </c>
      <c r="F9" s="132">
        <v>1</v>
      </c>
      <c r="G9" s="129">
        <f t="shared" si="2"/>
        <v>125073.17645161196</v>
      </c>
      <c r="H9" s="129">
        <v>126000</v>
      </c>
      <c r="I9" s="144" t="s">
        <v>82</v>
      </c>
      <c r="J9" s="132" t="s">
        <v>148</v>
      </c>
      <c r="K9" s="132" t="s">
        <v>300</v>
      </c>
      <c r="L9">
        <f>123.064-C9</f>
        <v>123.05799999999999</v>
      </c>
      <c r="N9" s="132" t="s">
        <v>149</v>
      </c>
      <c r="O9">
        <v>123.21299999999999</v>
      </c>
      <c r="P9" s="132" t="s">
        <v>130</v>
      </c>
      <c r="Q9" s="128"/>
      <c r="R9" s="132"/>
      <c r="T9" s="161" t="s">
        <v>153</v>
      </c>
      <c r="U9" s="143" t="s">
        <v>79</v>
      </c>
      <c r="V9" s="128">
        <v>0</v>
      </c>
      <c r="W9" s="157"/>
      <c r="X9" s="157">
        <f t="shared" si="0"/>
        <v>0</v>
      </c>
      <c r="Y9" s="130">
        <f t="shared" si="3"/>
        <v>0</v>
      </c>
      <c r="Z9" s="130"/>
      <c r="AA9" s="130">
        <f t="shared" si="4"/>
        <v>0</v>
      </c>
      <c r="AB9" s="150">
        <f t="shared" si="5"/>
        <v>969317.1174999997</v>
      </c>
      <c r="AC9" s="144" t="s">
        <v>152</v>
      </c>
    </row>
    <row r="10" spans="1:30" ht="67.5">
      <c r="A10" s="170">
        <f t="shared" si="1"/>
        <v>7</v>
      </c>
      <c r="B10" s="169" t="s">
        <v>150</v>
      </c>
      <c r="C10" s="128">
        <v>6.0000000000000002E-5</v>
      </c>
      <c r="D10" s="132" t="s">
        <v>147</v>
      </c>
      <c r="E10" s="132">
        <v>2</v>
      </c>
      <c r="F10" s="132">
        <v>94.71</v>
      </c>
      <c r="G10" s="129">
        <f t="shared" si="2"/>
        <v>86004.878004415063</v>
      </c>
      <c r="H10" s="129">
        <v>66000</v>
      </c>
      <c r="I10" s="144" t="s">
        <v>80</v>
      </c>
      <c r="J10" s="132" t="s">
        <v>151</v>
      </c>
      <c r="K10" s="132" t="s">
        <v>155</v>
      </c>
      <c r="L10">
        <f>1.30188-C10</f>
        <v>1.30182</v>
      </c>
      <c r="N10" s="132" t="s">
        <v>149</v>
      </c>
      <c r="O10">
        <v>1.3042</v>
      </c>
      <c r="P10" s="132" t="s">
        <v>130</v>
      </c>
      <c r="Q10" s="132" t="s">
        <v>161</v>
      </c>
      <c r="R10" s="132" t="s">
        <v>162</v>
      </c>
      <c r="S10">
        <v>1.2964899999999999</v>
      </c>
      <c r="T10" s="132" t="s">
        <v>163</v>
      </c>
      <c r="U10" s="143" t="s">
        <v>79</v>
      </c>
      <c r="V10" s="128">
        <v>1</v>
      </c>
      <c r="W10" s="157">
        <f>ABS(S10-L10)*10000*V10</f>
        <v>53.300000000000566</v>
      </c>
      <c r="X10" s="157"/>
      <c r="Y10" s="130">
        <f t="shared" si="3"/>
        <v>33317.083800000357</v>
      </c>
      <c r="Z10" s="130">
        <f>-660+13</f>
        <v>-647</v>
      </c>
      <c r="AA10" s="130">
        <f t="shared" si="4"/>
        <v>32670.083800000357</v>
      </c>
      <c r="AB10" s="150">
        <f t="shared" si="5"/>
        <v>1001987.2013000001</v>
      </c>
      <c r="AC10" s="144" t="s">
        <v>355</v>
      </c>
    </row>
    <row r="11" spans="1:30" ht="81">
      <c r="A11" s="170">
        <f t="shared" si="1"/>
        <v>8</v>
      </c>
      <c r="B11" s="169" t="s">
        <v>156</v>
      </c>
      <c r="C11" s="128">
        <v>8.6999999999999994E-2</v>
      </c>
      <c r="D11" s="132" t="s">
        <v>157</v>
      </c>
      <c r="E11" s="132">
        <v>2</v>
      </c>
      <c r="F11" s="132">
        <v>1</v>
      </c>
      <c r="G11" s="129">
        <f t="shared" si="2"/>
        <v>32012.370648562057</v>
      </c>
      <c r="H11" s="129">
        <v>31000</v>
      </c>
      <c r="I11" s="144" t="s">
        <v>83</v>
      </c>
      <c r="J11" s="132" t="s">
        <v>158</v>
      </c>
      <c r="K11" s="132" t="s">
        <v>160</v>
      </c>
      <c r="L11">
        <v>90.796000000000006</v>
      </c>
      <c r="N11" s="132" t="s">
        <v>159</v>
      </c>
      <c r="O11">
        <v>90.17</v>
      </c>
      <c r="P11" s="132" t="s">
        <v>130</v>
      </c>
      <c r="Q11" s="132" t="s">
        <v>69</v>
      </c>
      <c r="R11" s="132" t="s">
        <v>179</v>
      </c>
      <c r="S11">
        <v>90.165999999999997</v>
      </c>
      <c r="T11" s="132" t="s">
        <v>130</v>
      </c>
      <c r="U11" s="143" t="s">
        <v>79</v>
      </c>
      <c r="V11" s="128">
        <v>-1</v>
      </c>
      <c r="W11" s="157"/>
      <c r="X11" s="157">
        <f t="shared" si="0"/>
        <v>-63.000000000000966</v>
      </c>
      <c r="Y11" s="130">
        <f t="shared" si="3"/>
        <v>-19530.000000000298</v>
      </c>
      <c r="Z11" s="130">
        <f>-186+527</f>
        <v>341</v>
      </c>
      <c r="AA11" s="130">
        <f t="shared" si="4"/>
        <v>-19189.000000000298</v>
      </c>
      <c r="AB11" s="150">
        <f t="shared" si="5"/>
        <v>982798.20129999972</v>
      </c>
      <c r="AC11" s="144" t="s">
        <v>356</v>
      </c>
    </row>
    <row r="12" spans="1:30" ht="54">
      <c r="A12" s="170">
        <f t="shared" si="1"/>
        <v>9</v>
      </c>
      <c r="B12" s="169" t="s">
        <v>164</v>
      </c>
      <c r="C12" s="128"/>
      <c r="D12" s="132" t="s">
        <v>165</v>
      </c>
      <c r="E12" s="132">
        <v>2</v>
      </c>
      <c r="F12" s="132">
        <v>129.15</v>
      </c>
      <c r="G12" s="129">
        <f t="shared" si="2"/>
        <v>38144.0710292945</v>
      </c>
      <c r="H12" s="129">
        <v>41000</v>
      </c>
      <c r="I12" s="144" t="s">
        <v>85</v>
      </c>
      <c r="J12" s="132" t="s">
        <v>69</v>
      </c>
      <c r="K12" s="132" t="s">
        <v>301</v>
      </c>
      <c r="L12">
        <v>1.2952999999999999</v>
      </c>
      <c r="N12" s="132" t="s">
        <v>166</v>
      </c>
      <c r="O12">
        <v>1.2992900000000001</v>
      </c>
      <c r="P12" s="132" t="s">
        <v>130</v>
      </c>
      <c r="Q12" s="128"/>
      <c r="R12" s="132"/>
      <c r="T12" s="161" t="s">
        <v>167</v>
      </c>
      <c r="U12" s="143" t="s">
        <v>79</v>
      </c>
      <c r="V12" s="128">
        <v>0</v>
      </c>
      <c r="W12" s="157"/>
      <c r="X12" s="157">
        <f t="shared" si="0"/>
        <v>0</v>
      </c>
      <c r="Y12" s="130">
        <f t="shared" si="3"/>
        <v>0</v>
      </c>
      <c r="Z12" s="130"/>
      <c r="AA12" s="130">
        <f t="shared" si="4"/>
        <v>0</v>
      </c>
      <c r="AB12" s="150">
        <f t="shared" si="5"/>
        <v>982798.20129999972</v>
      </c>
      <c r="AC12" s="144" t="s">
        <v>173</v>
      </c>
    </row>
    <row r="13" spans="1:30" ht="54">
      <c r="A13" s="170">
        <f t="shared" si="1"/>
        <v>10</v>
      </c>
      <c r="B13" s="169" t="s">
        <v>168</v>
      </c>
      <c r="C13" s="128"/>
      <c r="D13" s="132" t="s">
        <v>169</v>
      </c>
      <c r="E13" s="132">
        <v>2</v>
      </c>
      <c r="F13" s="132">
        <v>1</v>
      </c>
      <c r="G13" s="129">
        <f t="shared" si="2"/>
        <v>57982.194766961868</v>
      </c>
      <c r="H13" s="129">
        <v>62000</v>
      </c>
      <c r="I13" s="144" t="s">
        <v>80</v>
      </c>
      <c r="J13" s="132" t="s">
        <v>69</v>
      </c>
      <c r="K13" s="132" t="s">
        <v>301</v>
      </c>
      <c r="L13">
        <v>135.529</v>
      </c>
      <c r="N13" s="132" t="s">
        <v>170</v>
      </c>
      <c r="O13" s="128">
        <v>135.86799999999999</v>
      </c>
      <c r="P13" s="132" t="s">
        <v>171</v>
      </c>
      <c r="Q13" s="128"/>
      <c r="R13" s="132"/>
      <c r="T13" s="161" t="s">
        <v>180</v>
      </c>
      <c r="U13" s="143" t="s">
        <v>79</v>
      </c>
      <c r="V13" s="128">
        <v>0</v>
      </c>
      <c r="W13" s="157">
        <f t="shared" ref="W13:W20" si="6">ABS(S13-L13)*10000*V13</f>
        <v>0</v>
      </c>
      <c r="X13" s="157"/>
      <c r="Y13" s="130">
        <f t="shared" si="3"/>
        <v>0</v>
      </c>
      <c r="Z13" s="130"/>
      <c r="AA13" s="130">
        <f t="shared" si="4"/>
        <v>0</v>
      </c>
      <c r="AB13" s="150">
        <f t="shared" si="5"/>
        <v>982798.20129999972</v>
      </c>
      <c r="AC13" s="144" t="s">
        <v>172</v>
      </c>
    </row>
    <row r="14" spans="1:30" ht="67.5">
      <c r="A14" s="170">
        <f t="shared" si="1"/>
        <v>11</v>
      </c>
      <c r="B14" s="169" t="s">
        <v>174</v>
      </c>
      <c r="C14" s="128"/>
      <c r="D14" s="132" t="s">
        <v>175</v>
      </c>
      <c r="E14" s="132">
        <v>2</v>
      </c>
      <c r="F14" s="132">
        <v>123.824</v>
      </c>
      <c r="G14" s="129">
        <f>(AB13*E14/100)/(ABS(M14-O14)*F14)</f>
        <v>28448.234576559193</v>
      </c>
      <c r="H14" s="129">
        <v>29000</v>
      </c>
      <c r="I14" s="144" t="s">
        <v>80</v>
      </c>
      <c r="J14" s="132" t="s">
        <v>176</v>
      </c>
      <c r="K14" s="132" t="s">
        <v>357</v>
      </c>
      <c r="L14">
        <v>0.72506000000000004</v>
      </c>
      <c r="M14">
        <v>0.72531000000000001</v>
      </c>
      <c r="N14" s="132" t="s">
        <v>177</v>
      </c>
      <c r="O14" s="128">
        <v>0.73089000000000004</v>
      </c>
      <c r="P14" s="132" t="s">
        <v>178</v>
      </c>
      <c r="Q14" s="132" t="s">
        <v>69</v>
      </c>
      <c r="R14" s="164" t="s">
        <v>181</v>
      </c>
      <c r="S14" s="128">
        <v>0.73089000000000004</v>
      </c>
      <c r="T14" s="132" t="s">
        <v>130</v>
      </c>
      <c r="U14" s="143" t="s">
        <v>79</v>
      </c>
      <c r="V14" s="128">
        <v>-1</v>
      </c>
      <c r="W14" s="157">
        <f t="shared" si="6"/>
        <v>-58.300000000000018</v>
      </c>
      <c r="X14" s="157"/>
      <c r="Y14" s="130">
        <f t="shared" si="3"/>
        <v>-20934.923680000007</v>
      </c>
      <c r="Z14" s="130">
        <v>-290</v>
      </c>
      <c r="AA14" s="130">
        <f t="shared" si="4"/>
        <v>-21224.923680000007</v>
      </c>
      <c r="AB14" s="150">
        <f t="shared" si="5"/>
        <v>961573.27761999972</v>
      </c>
      <c r="AC14" s="144" t="s">
        <v>358</v>
      </c>
      <c r="AD14" s="143" t="s">
        <v>185</v>
      </c>
    </row>
    <row r="15" spans="1:30" ht="54">
      <c r="A15" s="170">
        <f t="shared" si="1"/>
        <v>12</v>
      </c>
      <c r="B15" s="169" t="s">
        <v>140</v>
      </c>
      <c r="C15" s="128"/>
      <c r="D15" s="132" t="s">
        <v>186</v>
      </c>
      <c r="E15" s="132">
        <v>2</v>
      </c>
      <c r="F15" s="132">
        <v>126.867</v>
      </c>
      <c r="G15" s="129">
        <f t="shared" ref="G15:G18" si="7">(AB14*E15/100)/(ABS(M15-O15)*F15)</f>
        <v>10432.73309350513</v>
      </c>
      <c r="H15" s="129">
        <v>10000</v>
      </c>
      <c r="I15" s="144" t="s">
        <v>86</v>
      </c>
      <c r="J15" s="132" t="s">
        <v>142</v>
      </c>
      <c r="K15" s="132" t="s">
        <v>191</v>
      </c>
      <c r="L15">
        <v>0.96921000000000002</v>
      </c>
      <c r="M15">
        <v>0.96919999999999995</v>
      </c>
      <c r="N15" s="132" t="s">
        <v>190</v>
      </c>
      <c r="O15" s="128">
        <v>0.95467000000000002</v>
      </c>
      <c r="P15" s="132" t="s">
        <v>187</v>
      </c>
      <c r="Q15" s="132" t="s">
        <v>219</v>
      </c>
      <c r="R15" s="132" t="s">
        <v>220</v>
      </c>
      <c r="S15" s="128">
        <v>0.98216999999999999</v>
      </c>
      <c r="T15" s="132" t="s">
        <v>221</v>
      </c>
      <c r="U15" s="143" t="s">
        <v>79</v>
      </c>
      <c r="V15" s="132">
        <v>1</v>
      </c>
      <c r="W15" s="157">
        <f>ABS(S15-M15)*10000*V15</f>
        <v>129.70000000000036</v>
      </c>
      <c r="X15" s="157"/>
      <c r="Y15" s="130">
        <f>ABS(M15-S15)*H15*V15*F15</f>
        <v>16454.649900000048</v>
      </c>
      <c r="Z15" s="130">
        <f>-100+152</f>
        <v>52</v>
      </c>
      <c r="AA15" s="130">
        <f t="shared" si="4"/>
        <v>16506.649900000048</v>
      </c>
      <c r="AB15" s="150">
        <f t="shared" si="5"/>
        <v>978079.92751999979</v>
      </c>
      <c r="AC15" s="144" t="s">
        <v>359</v>
      </c>
    </row>
    <row r="16" spans="1:30" ht="54">
      <c r="A16" s="170">
        <f t="shared" si="1"/>
        <v>13</v>
      </c>
      <c r="B16" s="169" t="s">
        <v>192</v>
      </c>
      <c r="C16" s="128"/>
      <c r="D16" s="132" t="s">
        <v>62</v>
      </c>
      <c r="E16" s="132">
        <v>2</v>
      </c>
      <c r="F16" s="132">
        <v>1</v>
      </c>
      <c r="G16" s="129">
        <f t="shared" si="7"/>
        <v>24636.77399294719</v>
      </c>
      <c r="H16" s="129">
        <v>24000</v>
      </c>
      <c r="I16" s="143" t="s">
        <v>194</v>
      </c>
      <c r="J16" s="132" t="s">
        <v>69</v>
      </c>
      <c r="K16" s="132" t="s">
        <v>300</v>
      </c>
      <c r="M16">
        <v>125.06</v>
      </c>
      <c r="N16" s="132" t="s">
        <v>193</v>
      </c>
      <c r="O16" s="128">
        <v>124.26600000000001</v>
      </c>
      <c r="P16" s="132" t="s">
        <v>130</v>
      </c>
      <c r="Q16" s="128"/>
      <c r="R16" s="132"/>
      <c r="S16" s="128"/>
      <c r="T16" s="132" t="s">
        <v>344</v>
      </c>
      <c r="U16" s="143" t="s">
        <v>79</v>
      </c>
      <c r="V16" s="132">
        <v>0</v>
      </c>
      <c r="W16" s="157"/>
      <c r="X16" s="157">
        <f t="shared" si="0"/>
        <v>0</v>
      </c>
      <c r="Y16" s="130">
        <f t="shared" si="3"/>
        <v>0</v>
      </c>
      <c r="Z16" s="130"/>
      <c r="AA16" s="130">
        <f t="shared" si="4"/>
        <v>0</v>
      </c>
      <c r="AB16" s="150">
        <f t="shared" si="5"/>
        <v>978079.92751999979</v>
      </c>
      <c r="AC16" s="144" t="s">
        <v>91</v>
      </c>
    </row>
    <row r="17" spans="1:29" ht="54">
      <c r="A17" s="170">
        <f t="shared" si="1"/>
        <v>14</v>
      </c>
      <c r="B17" s="169" t="s">
        <v>195</v>
      </c>
      <c r="C17" s="128"/>
      <c r="D17" s="132" t="s">
        <v>196</v>
      </c>
      <c r="E17" s="132">
        <v>2</v>
      </c>
      <c r="F17" s="132">
        <v>125.15</v>
      </c>
      <c r="G17" s="129">
        <f t="shared" si="7"/>
        <v>27326.087786125423</v>
      </c>
      <c r="H17" s="129">
        <v>27000</v>
      </c>
      <c r="I17" s="143" t="s">
        <v>199</v>
      </c>
      <c r="J17" s="132" t="s">
        <v>197</v>
      </c>
      <c r="K17" s="132" t="s">
        <v>360</v>
      </c>
      <c r="L17">
        <v>1.5513999999999999</v>
      </c>
      <c r="M17">
        <v>1.5513999999999999</v>
      </c>
      <c r="N17" s="132" t="s">
        <v>198</v>
      </c>
      <c r="O17" s="128">
        <v>1.5456799999999999</v>
      </c>
      <c r="P17" s="132" t="s">
        <v>130</v>
      </c>
      <c r="Q17" s="128" t="s">
        <v>303</v>
      </c>
      <c r="R17" s="132" t="s">
        <v>302</v>
      </c>
      <c r="S17" s="128">
        <v>1.55541</v>
      </c>
      <c r="T17" s="132"/>
      <c r="U17" s="143" t="s">
        <v>79</v>
      </c>
      <c r="V17" s="128">
        <v>1</v>
      </c>
      <c r="W17" s="157">
        <f t="shared" si="6"/>
        <v>40.100000000000691</v>
      </c>
      <c r="X17" s="157"/>
      <c r="Y17" s="130">
        <f t="shared" si="3"/>
        <v>13549.990500000233</v>
      </c>
      <c r="Z17" s="130">
        <f>-270+48</f>
        <v>-222</v>
      </c>
      <c r="AA17" s="130">
        <f t="shared" si="4"/>
        <v>13327.990500000233</v>
      </c>
      <c r="AB17" s="150">
        <f t="shared" si="5"/>
        <v>991407.91801999998</v>
      </c>
      <c r="AC17" s="144" t="s">
        <v>361</v>
      </c>
    </row>
    <row r="18" spans="1:29" ht="67.5">
      <c r="A18" s="170">
        <f t="shared" si="1"/>
        <v>15</v>
      </c>
      <c r="B18" s="169" t="s">
        <v>200</v>
      </c>
      <c r="C18" s="128"/>
      <c r="D18" s="132" t="s">
        <v>201</v>
      </c>
      <c r="E18" s="132">
        <v>2</v>
      </c>
      <c r="F18" s="132">
        <v>125.15600000000001</v>
      </c>
      <c r="G18" s="129">
        <f t="shared" si="7"/>
        <v>23859.570677962653</v>
      </c>
      <c r="H18" s="129">
        <v>23000</v>
      </c>
      <c r="I18" s="143" t="s">
        <v>211</v>
      </c>
      <c r="J18" s="132" t="s">
        <v>197</v>
      </c>
      <c r="K18" s="132" t="s">
        <v>212</v>
      </c>
      <c r="L18">
        <v>0.74222999999999995</v>
      </c>
      <c r="M18">
        <v>0.74219999999999997</v>
      </c>
      <c r="N18" s="132" t="s">
        <v>202</v>
      </c>
      <c r="O18" s="128">
        <v>0.73555999999999999</v>
      </c>
      <c r="P18" s="132" t="s">
        <v>130</v>
      </c>
      <c r="Q18" t="s">
        <v>214</v>
      </c>
      <c r="R18" s="128" t="s">
        <v>213</v>
      </c>
      <c r="S18" s="132">
        <f>O18</f>
        <v>0.73555999999999999</v>
      </c>
      <c r="T18" s="132" t="s">
        <v>130</v>
      </c>
      <c r="U18" s="143" t="s">
        <v>79</v>
      </c>
      <c r="V18" s="128">
        <v>-1</v>
      </c>
      <c r="W18" s="157">
        <f t="shared" si="6"/>
        <v>-66.699999999999534</v>
      </c>
      <c r="X18" s="157"/>
      <c r="Y18" s="130">
        <f t="shared" si="3"/>
        <v>-19200.181959999867</v>
      </c>
      <c r="Z18" s="130">
        <v>-230</v>
      </c>
      <c r="AA18" s="130">
        <f t="shared" si="4"/>
        <v>-19430.181959999867</v>
      </c>
      <c r="AB18" s="150">
        <f t="shared" si="5"/>
        <v>971977.73606000014</v>
      </c>
      <c r="AC18" s="144" t="s">
        <v>218</v>
      </c>
    </row>
    <row r="19" spans="1:29" ht="54">
      <c r="A19" s="170">
        <f t="shared" si="1"/>
        <v>16</v>
      </c>
      <c r="B19" s="169" t="s">
        <v>203</v>
      </c>
      <c r="C19" s="128"/>
      <c r="D19" s="132" t="s">
        <v>204</v>
      </c>
      <c r="E19" s="132">
        <v>2</v>
      </c>
      <c r="F19" s="132">
        <v>124</v>
      </c>
      <c r="G19" s="129">
        <f t="shared" ref="G19:G39" si="8">(AB18*E19/100)/(ABS(M19-O19)*F19)</f>
        <v>119672.21571780046</v>
      </c>
      <c r="H19" s="129">
        <v>120000</v>
      </c>
      <c r="I19" s="143" t="s">
        <v>206</v>
      </c>
      <c r="J19" s="132" t="s">
        <v>205</v>
      </c>
      <c r="K19" s="132" t="s">
        <v>208</v>
      </c>
      <c r="M19">
        <v>0.66210000000000002</v>
      </c>
      <c r="N19" s="132" t="s">
        <v>207</v>
      </c>
      <c r="O19" s="132">
        <v>0.66078999999999999</v>
      </c>
      <c r="P19" s="132" t="s">
        <v>130</v>
      </c>
      <c r="Q19" s="128"/>
      <c r="R19" s="132"/>
      <c r="S19" s="132"/>
      <c r="T19" s="132" t="s">
        <v>344</v>
      </c>
      <c r="U19" s="143" t="s">
        <v>79</v>
      </c>
      <c r="V19" s="128">
        <v>0</v>
      </c>
      <c r="W19" s="157">
        <f t="shared" si="6"/>
        <v>0</v>
      </c>
      <c r="X19" s="157"/>
      <c r="Y19" s="130">
        <f t="shared" si="3"/>
        <v>0</v>
      </c>
      <c r="Z19" s="130"/>
      <c r="AA19" s="130">
        <f t="shared" si="4"/>
        <v>0</v>
      </c>
      <c r="AB19" s="150">
        <f t="shared" si="5"/>
        <v>971977.73606000014</v>
      </c>
      <c r="AC19" s="144" t="s">
        <v>91</v>
      </c>
    </row>
    <row r="20" spans="1:29" ht="67.5">
      <c r="A20" s="170">
        <f t="shared" si="1"/>
        <v>17</v>
      </c>
      <c r="B20" s="169" t="s">
        <v>203</v>
      </c>
      <c r="C20" s="128"/>
      <c r="D20" s="132" t="s">
        <v>141</v>
      </c>
      <c r="E20" s="132">
        <v>2</v>
      </c>
      <c r="F20" s="132">
        <v>125.485</v>
      </c>
      <c r="G20" s="129">
        <f t="shared" si="8"/>
        <v>95040.101931865152</v>
      </c>
      <c r="H20" s="129">
        <v>96000</v>
      </c>
      <c r="I20" s="143" t="s">
        <v>210</v>
      </c>
      <c r="J20" s="132" t="s">
        <v>205</v>
      </c>
      <c r="K20" s="132" t="s">
        <v>216</v>
      </c>
      <c r="L20">
        <v>0.66180000000000005</v>
      </c>
      <c r="M20">
        <v>0.66180000000000005</v>
      </c>
      <c r="N20" s="132" t="s">
        <v>209</v>
      </c>
      <c r="O20" s="132">
        <v>0.66017000000000003</v>
      </c>
      <c r="P20" s="132" t="s">
        <v>130</v>
      </c>
      <c r="Q20" s="128" t="s">
        <v>215</v>
      </c>
      <c r="R20" s="132" t="s">
        <v>217</v>
      </c>
      <c r="S20" s="128">
        <f>O20</f>
        <v>0.66017000000000003</v>
      </c>
      <c r="T20" s="132" t="s">
        <v>130</v>
      </c>
      <c r="U20" s="143" t="s">
        <v>79</v>
      </c>
      <c r="V20" s="128">
        <v>-1</v>
      </c>
      <c r="W20" s="157">
        <f t="shared" si="6"/>
        <v>-16.300000000000203</v>
      </c>
      <c r="X20" s="157"/>
      <c r="Y20" s="130">
        <f t="shared" si="3"/>
        <v>-19635.892800000245</v>
      </c>
      <c r="Z20" s="130">
        <v>-960</v>
      </c>
      <c r="AA20" s="130">
        <f t="shared" si="4"/>
        <v>-20595.892800000245</v>
      </c>
      <c r="AB20" s="150">
        <f t="shared" si="5"/>
        <v>951381.84325999988</v>
      </c>
      <c r="AC20" s="144" t="s">
        <v>362</v>
      </c>
    </row>
    <row r="21" spans="1:29" ht="54">
      <c r="A21" s="170">
        <f t="shared" si="1"/>
        <v>18</v>
      </c>
      <c r="B21" s="169" t="s">
        <v>222</v>
      </c>
      <c r="C21" s="128"/>
      <c r="D21" s="132" t="s">
        <v>223</v>
      </c>
      <c r="E21" s="132">
        <v>2</v>
      </c>
      <c r="F21" s="132">
        <v>124.52</v>
      </c>
      <c r="G21" s="129">
        <f t="shared" si="8"/>
        <v>17073.505829042715</v>
      </c>
      <c r="H21" s="129">
        <v>17000</v>
      </c>
      <c r="I21" s="143" t="s">
        <v>226</v>
      </c>
      <c r="J21" s="132" t="s">
        <v>224</v>
      </c>
      <c r="K21" s="132" t="s">
        <v>232</v>
      </c>
      <c r="L21">
        <v>1.1049</v>
      </c>
      <c r="M21">
        <v>1.1049</v>
      </c>
      <c r="N21" s="132" t="s">
        <v>225</v>
      </c>
      <c r="O21" s="132">
        <v>1.09595</v>
      </c>
      <c r="P21" s="132" t="s">
        <v>130</v>
      </c>
      <c r="Q21" s="128" t="s">
        <v>205</v>
      </c>
      <c r="R21" s="132" t="s">
        <v>233</v>
      </c>
      <c r="S21">
        <v>1.1122799999999999</v>
      </c>
      <c r="T21" t="s">
        <v>234</v>
      </c>
      <c r="U21" s="143" t="s">
        <v>79</v>
      </c>
      <c r="V21" s="128">
        <v>1</v>
      </c>
      <c r="W21" s="157">
        <f t="shared" ref="W21" si="9">ABS(S21-L21)*10000*V21</f>
        <v>73.799999999999415</v>
      </c>
      <c r="X21" s="157"/>
      <c r="Y21" s="130">
        <f t="shared" ref="Y21" si="10">ABS(L21-S21)*H21*V21*F21</f>
        <v>15622.279199999877</v>
      </c>
      <c r="Z21" s="130">
        <f>-102-129</f>
        <v>-231</v>
      </c>
      <c r="AA21" s="130">
        <f t="shared" si="4"/>
        <v>15391.279199999877</v>
      </c>
      <c r="AB21" s="150">
        <f t="shared" si="5"/>
        <v>966773.12245999975</v>
      </c>
      <c r="AC21" s="144" t="s">
        <v>363</v>
      </c>
    </row>
    <row r="22" spans="1:29" ht="54">
      <c r="A22" s="170">
        <f t="shared" si="1"/>
        <v>19</v>
      </c>
      <c r="B22" s="169" t="s">
        <v>227</v>
      </c>
      <c r="C22" s="128"/>
      <c r="D22" s="132" t="s">
        <v>228</v>
      </c>
      <c r="E22" s="132">
        <v>2</v>
      </c>
      <c r="F22" s="132">
        <v>1</v>
      </c>
      <c r="G22" s="129">
        <f t="shared" si="8"/>
        <v>31136.010385185426</v>
      </c>
      <c r="H22" s="129">
        <v>30000</v>
      </c>
      <c r="I22" s="143" t="s">
        <v>230</v>
      </c>
      <c r="J22" s="132" t="s">
        <v>224</v>
      </c>
      <c r="K22" s="132" t="s">
        <v>231</v>
      </c>
      <c r="L22">
        <v>95.781000000000006</v>
      </c>
      <c r="M22">
        <v>95.78</v>
      </c>
      <c r="N22" s="132" t="s">
        <v>229</v>
      </c>
      <c r="O22" s="132">
        <v>95.159000000000006</v>
      </c>
      <c r="P22" s="132" t="s">
        <v>130</v>
      </c>
      <c r="Q22" s="128" t="s">
        <v>205</v>
      </c>
      <c r="R22" s="132" t="s">
        <v>236</v>
      </c>
      <c r="S22">
        <v>95.554000000000002</v>
      </c>
      <c r="T22" s="128" t="s">
        <v>235</v>
      </c>
      <c r="U22" s="143" t="s">
        <v>79</v>
      </c>
      <c r="V22" s="128">
        <v>-1</v>
      </c>
      <c r="W22" s="157"/>
      <c r="X22" s="157">
        <f t="shared" si="0"/>
        <v>-22.700000000000387</v>
      </c>
      <c r="Y22" s="130">
        <f t="shared" si="3"/>
        <v>-6810.0000000001164</v>
      </c>
      <c r="Z22" s="130">
        <v>-300</v>
      </c>
      <c r="AA22" s="130">
        <f t="shared" si="4"/>
        <v>-7110.0000000001164</v>
      </c>
      <c r="AB22" s="150">
        <f t="shared" si="5"/>
        <v>959663.12245999963</v>
      </c>
      <c r="AC22" s="144" t="s">
        <v>364</v>
      </c>
    </row>
    <row r="23" spans="1:29" ht="67.5">
      <c r="A23" s="170">
        <f t="shared" si="1"/>
        <v>20</v>
      </c>
      <c r="B23" s="169" t="s">
        <v>237</v>
      </c>
      <c r="C23" s="128"/>
      <c r="D23" s="132" t="s">
        <v>238</v>
      </c>
      <c r="E23" s="132">
        <v>2</v>
      </c>
      <c r="F23" s="132">
        <v>128.31100000000001</v>
      </c>
      <c r="G23" s="129">
        <f t="shared" ref="G23" si="11">(AB22*E23/100)/(ABS(M23-O23)*F23)</f>
        <v>51938.861354876564</v>
      </c>
      <c r="H23" s="129">
        <v>52000</v>
      </c>
      <c r="I23" s="143" t="s">
        <v>241</v>
      </c>
      <c r="J23" s="132" t="s">
        <v>197</v>
      </c>
      <c r="K23" s="132" t="s">
        <v>240</v>
      </c>
      <c r="L23">
        <v>1.0861700000000001</v>
      </c>
      <c r="M23">
        <v>1.0861700000000001</v>
      </c>
      <c r="N23" s="132" t="s">
        <v>239</v>
      </c>
      <c r="O23" s="132">
        <v>1.0890500000000001</v>
      </c>
      <c r="P23" s="132" t="s">
        <v>130</v>
      </c>
      <c r="Q23" s="132" t="s">
        <v>197</v>
      </c>
      <c r="R23" s="132" t="s">
        <v>242</v>
      </c>
      <c r="S23" s="132">
        <v>1.0890500000000001</v>
      </c>
      <c r="T23" s="132" t="s">
        <v>130</v>
      </c>
      <c r="U23" s="143" t="s">
        <v>79</v>
      </c>
      <c r="V23" s="128">
        <v>-1</v>
      </c>
      <c r="W23" s="157">
        <f>ABS(S23-M23)*10000*V23</f>
        <v>-28.799999999999937</v>
      </c>
      <c r="X23" s="157"/>
      <c r="Y23" s="130">
        <f>ABS(M23-S23)*H23*V23*F23</f>
        <v>-19215.855359999961</v>
      </c>
      <c r="Z23" s="130">
        <v>-520</v>
      </c>
      <c r="AA23" s="130">
        <f t="shared" si="4"/>
        <v>-19735.855359999961</v>
      </c>
      <c r="AB23" s="150">
        <f t="shared" si="5"/>
        <v>939927.26709999971</v>
      </c>
      <c r="AC23" s="144" t="s">
        <v>365</v>
      </c>
    </row>
    <row r="24" spans="1:29" ht="81">
      <c r="A24" s="170">
        <f t="shared" si="1"/>
        <v>21</v>
      </c>
      <c r="B24" s="169" t="s">
        <v>243</v>
      </c>
      <c r="C24" s="128"/>
      <c r="D24" s="132" t="s">
        <v>244</v>
      </c>
      <c r="E24" s="132">
        <v>2</v>
      </c>
      <c r="F24" s="132">
        <v>124.37</v>
      </c>
      <c r="G24" s="129">
        <f t="shared" si="8"/>
        <v>24697.738486940991</v>
      </c>
      <c r="H24" s="129">
        <v>25000</v>
      </c>
      <c r="I24" s="144" t="s">
        <v>248</v>
      </c>
      <c r="J24" s="132" t="s">
        <v>197</v>
      </c>
      <c r="K24" s="132" t="s">
        <v>256</v>
      </c>
      <c r="L24">
        <v>1.56603</v>
      </c>
      <c r="M24">
        <v>1.5660000000000001</v>
      </c>
      <c r="N24" s="132" t="s">
        <v>245</v>
      </c>
      <c r="O24" s="132">
        <v>1.5598799999999999</v>
      </c>
      <c r="P24" s="132" t="s">
        <v>130</v>
      </c>
      <c r="Q24" s="132" t="s">
        <v>197</v>
      </c>
      <c r="R24" s="132" t="s">
        <v>259</v>
      </c>
      <c r="S24" s="132">
        <v>1.5598799999999999</v>
      </c>
      <c r="T24" s="132" t="s">
        <v>130</v>
      </c>
      <c r="U24" s="143" t="s">
        <v>79</v>
      </c>
      <c r="V24" s="128">
        <v>-1</v>
      </c>
      <c r="W24" s="157">
        <f t="shared" ref="W24:W39" si="12">ABS(S24-L24)*10000*V24</f>
        <v>-61.500000000000995</v>
      </c>
      <c r="X24" s="157"/>
      <c r="Y24" s="130">
        <f t="shared" si="3"/>
        <v>-19121.88750000031</v>
      </c>
      <c r="Z24" s="130">
        <v>-250</v>
      </c>
      <c r="AA24" s="130">
        <f t="shared" si="4"/>
        <v>-19371.88750000031</v>
      </c>
      <c r="AB24" s="150">
        <f t="shared" si="5"/>
        <v>920555.3795999994</v>
      </c>
      <c r="AC24" s="144" t="s">
        <v>265</v>
      </c>
    </row>
    <row r="25" spans="1:29" ht="81">
      <c r="A25" s="170">
        <f t="shared" si="1"/>
        <v>22</v>
      </c>
      <c r="B25" s="169" t="s">
        <v>247</v>
      </c>
      <c r="C25" s="128">
        <v>6.7</v>
      </c>
      <c r="D25" s="132" t="s">
        <v>244</v>
      </c>
      <c r="E25" s="132">
        <v>2</v>
      </c>
      <c r="F25" s="132">
        <v>94.71</v>
      </c>
      <c r="G25" s="129">
        <f t="shared" si="8"/>
        <v>43055.270760085135</v>
      </c>
      <c r="H25" s="129">
        <v>44000</v>
      </c>
      <c r="I25" s="144" t="s">
        <v>249</v>
      </c>
      <c r="J25" s="132" t="s">
        <v>197</v>
      </c>
      <c r="K25" s="132" t="s">
        <v>257</v>
      </c>
      <c r="L25">
        <v>1.3099400000000001</v>
      </c>
      <c r="M25" s="165">
        <f>1.3096+(C25/10000)/2</f>
        <v>1.3099350000000001</v>
      </c>
      <c r="N25" s="132" t="s">
        <v>251</v>
      </c>
      <c r="O25" s="132">
        <v>1.30542</v>
      </c>
      <c r="P25" s="132" t="s">
        <v>130</v>
      </c>
      <c r="Q25" s="132"/>
      <c r="R25" s="132" t="s">
        <v>304</v>
      </c>
      <c r="S25" s="132">
        <v>1.30541</v>
      </c>
      <c r="T25" s="132" t="s">
        <v>130</v>
      </c>
      <c r="U25" s="143" t="s">
        <v>79</v>
      </c>
      <c r="V25" s="128">
        <v>-1</v>
      </c>
      <c r="W25" s="157">
        <f t="shared" si="12"/>
        <v>-45.300000000001447</v>
      </c>
      <c r="X25" s="157"/>
      <c r="Y25" s="130">
        <f t="shared" si="3"/>
        <v>-18877.597200000604</v>
      </c>
      <c r="Z25" s="130"/>
      <c r="AA25" s="130">
        <f t="shared" si="4"/>
        <v>-18877.597200000604</v>
      </c>
      <c r="AB25" s="150">
        <f t="shared" si="5"/>
        <v>901677.78239999874</v>
      </c>
      <c r="AC25" s="144" t="s">
        <v>366</v>
      </c>
    </row>
    <row r="26" spans="1:29" ht="54">
      <c r="A26" s="170">
        <f t="shared" si="1"/>
        <v>23</v>
      </c>
      <c r="B26" s="169" t="s">
        <v>255</v>
      </c>
      <c r="C26" s="128">
        <v>5.6</v>
      </c>
      <c r="D26" s="132" t="s">
        <v>252</v>
      </c>
      <c r="E26" s="132">
        <v>2</v>
      </c>
      <c r="F26" s="132">
        <v>1</v>
      </c>
      <c r="G26" s="129">
        <f t="shared" si="8"/>
        <v>69094.082942526031</v>
      </c>
      <c r="H26" s="129">
        <v>72000</v>
      </c>
      <c r="I26" s="144" t="s">
        <v>253</v>
      </c>
      <c r="J26" s="132" t="s">
        <v>197</v>
      </c>
      <c r="K26" s="132" t="s">
        <v>258</v>
      </c>
      <c r="L26">
        <v>94.846999999999994</v>
      </c>
      <c r="M26">
        <f>94.875-(C26/100)/2</f>
        <v>94.846999999999994</v>
      </c>
      <c r="N26" s="132" t="s">
        <v>254</v>
      </c>
      <c r="O26" s="132">
        <v>95.108000000000004</v>
      </c>
      <c r="P26" s="132" t="s">
        <v>130</v>
      </c>
      <c r="Q26" s="132" t="s">
        <v>197</v>
      </c>
      <c r="R26" s="132" t="s">
        <v>260</v>
      </c>
      <c r="S26">
        <f>O26</f>
        <v>95.108000000000004</v>
      </c>
      <c r="T26" s="132" t="s">
        <v>130</v>
      </c>
      <c r="U26" s="143" t="s">
        <v>79</v>
      </c>
      <c r="V26" s="132">
        <v>-1</v>
      </c>
      <c r="W26" s="157"/>
      <c r="X26" s="157">
        <f t="shared" si="0"/>
        <v>-26.100000000000989</v>
      </c>
      <c r="Y26" s="130">
        <f t="shared" si="3"/>
        <v>-18792.000000000713</v>
      </c>
      <c r="Z26" s="130"/>
      <c r="AA26" s="130">
        <f t="shared" si="4"/>
        <v>-18792.000000000713</v>
      </c>
      <c r="AB26" s="150">
        <f t="shared" si="5"/>
        <v>882885.78239999805</v>
      </c>
      <c r="AC26" s="144" t="s">
        <v>267</v>
      </c>
    </row>
    <row r="27" spans="1:29" ht="54">
      <c r="A27" s="170">
        <f t="shared" si="1"/>
        <v>24</v>
      </c>
      <c r="B27" s="169" t="s">
        <v>261</v>
      </c>
      <c r="C27" s="128">
        <v>3.4</v>
      </c>
      <c r="D27" s="132" t="s">
        <v>305</v>
      </c>
      <c r="E27" s="132">
        <v>2</v>
      </c>
      <c r="F27" s="132">
        <v>1</v>
      </c>
      <c r="G27" s="129">
        <f t="shared" si="8"/>
        <v>113920.74611614883</v>
      </c>
      <c r="H27" s="129">
        <v>116000</v>
      </c>
      <c r="I27" s="143" t="s">
        <v>262</v>
      </c>
      <c r="J27" s="132" t="s">
        <v>263</v>
      </c>
      <c r="K27" s="132" t="s">
        <v>306</v>
      </c>
      <c r="M27">
        <f>137.74-C27/100</f>
        <v>137.70600000000002</v>
      </c>
      <c r="N27" s="132" t="s">
        <v>264</v>
      </c>
      <c r="O27" s="132">
        <v>137.86099999999999</v>
      </c>
      <c r="P27" s="132" t="s">
        <v>130</v>
      </c>
      <c r="Q27" s="128"/>
      <c r="R27" s="128"/>
      <c r="T27" s="132" t="s">
        <v>306</v>
      </c>
      <c r="U27" s="143" t="s">
        <v>79</v>
      </c>
      <c r="V27" s="132">
        <v>0</v>
      </c>
      <c r="W27" s="157"/>
      <c r="X27" s="157">
        <f t="shared" si="0"/>
        <v>0</v>
      </c>
      <c r="Y27" s="130">
        <f t="shared" si="3"/>
        <v>0</v>
      </c>
      <c r="Z27" s="130"/>
      <c r="AA27" s="130">
        <f t="shared" si="4"/>
        <v>0</v>
      </c>
      <c r="AB27" s="150">
        <f t="shared" si="5"/>
        <v>882885.78239999805</v>
      </c>
      <c r="AC27" s="144" t="s">
        <v>91</v>
      </c>
    </row>
    <row r="28" spans="1:29" ht="54">
      <c r="A28" s="170">
        <f t="shared" si="1"/>
        <v>25</v>
      </c>
      <c r="B28" s="169" t="s">
        <v>268</v>
      </c>
      <c r="C28" s="128">
        <v>0.7</v>
      </c>
      <c r="D28" s="132" t="s">
        <v>335</v>
      </c>
      <c r="E28" s="132">
        <v>2</v>
      </c>
      <c r="F28" s="132">
        <v>94.757000000000005</v>
      </c>
      <c r="G28" s="129">
        <f t="shared" si="8"/>
        <v>71397.451314972568</v>
      </c>
      <c r="H28" s="129">
        <v>72000</v>
      </c>
      <c r="I28" s="144" t="s">
        <v>269</v>
      </c>
      <c r="J28" s="132" t="s">
        <v>197</v>
      </c>
      <c r="K28" s="132" t="s">
        <v>307</v>
      </c>
      <c r="L28">
        <v>1.31029</v>
      </c>
      <c r="M28">
        <f>1.31022+C28/10000</f>
        <v>1.31029</v>
      </c>
      <c r="N28" s="132" t="s">
        <v>270</v>
      </c>
      <c r="O28" s="132">
        <v>1.30768</v>
      </c>
      <c r="P28" s="132" t="s">
        <v>130</v>
      </c>
      <c r="Q28" s="128" t="s">
        <v>308</v>
      </c>
      <c r="R28" s="128" t="s">
        <v>309</v>
      </c>
      <c r="S28">
        <v>1.3117799999999999</v>
      </c>
      <c r="T28" s="128"/>
      <c r="U28" s="143" t="s">
        <v>79</v>
      </c>
      <c r="V28" s="132">
        <v>1</v>
      </c>
      <c r="W28" s="157">
        <f t="shared" si="12"/>
        <v>14.899999999999913</v>
      </c>
      <c r="X28" s="157"/>
      <c r="Y28" s="130">
        <f t="shared" si="3"/>
        <v>10165.530959999942</v>
      </c>
      <c r="Z28" s="130">
        <v>-720</v>
      </c>
      <c r="AA28" s="130">
        <f t="shared" si="4"/>
        <v>9445.5309599999418</v>
      </c>
      <c r="AB28" s="150">
        <f t="shared" si="5"/>
        <v>892331.31335999793</v>
      </c>
      <c r="AC28" s="144" t="s">
        <v>91</v>
      </c>
    </row>
    <row r="29" spans="1:29" ht="67.5">
      <c r="A29" s="170">
        <f t="shared" si="1"/>
        <v>26</v>
      </c>
      <c r="B29" s="169" t="s">
        <v>274</v>
      </c>
      <c r="C29" s="128">
        <v>0.6</v>
      </c>
      <c r="D29" s="132" t="s">
        <v>337</v>
      </c>
      <c r="E29" s="132">
        <v>2</v>
      </c>
      <c r="F29" s="132">
        <v>127</v>
      </c>
      <c r="G29" s="129">
        <f>(AB28*E29/100)/(ABS(M29-O29)*F29)</f>
        <v>24653.441452134048</v>
      </c>
      <c r="H29" s="129">
        <v>25000</v>
      </c>
      <c r="I29" s="143" t="s">
        <v>275</v>
      </c>
      <c r="J29" s="132" t="s">
        <v>197</v>
      </c>
      <c r="K29" s="161" t="s">
        <v>288</v>
      </c>
      <c r="M29">
        <f>0.97974+C29/10000</f>
        <v>0.9798</v>
      </c>
      <c r="N29" s="132" t="s">
        <v>276</v>
      </c>
      <c r="O29" s="132">
        <v>0.97409999999999997</v>
      </c>
      <c r="P29" s="132" t="s">
        <v>277</v>
      </c>
      <c r="Q29" s="128"/>
      <c r="R29" s="128"/>
      <c r="T29" s="128" t="s">
        <v>345</v>
      </c>
      <c r="U29" s="143" t="s">
        <v>79</v>
      </c>
      <c r="V29" s="132">
        <v>0</v>
      </c>
      <c r="W29" s="157">
        <f t="shared" si="12"/>
        <v>0</v>
      </c>
      <c r="X29" s="157">
        <f t="shared" si="0"/>
        <v>0</v>
      </c>
      <c r="Y29" s="130">
        <f t="shared" si="3"/>
        <v>0</v>
      </c>
      <c r="Z29" s="130"/>
      <c r="AA29" s="130">
        <f t="shared" si="4"/>
        <v>0</v>
      </c>
      <c r="AB29" s="150">
        <f t="shared" si="5"/>
        <v>892331.31335999793</v>
      </c>
      <c r="AC29" s="144" t="s">
        <v>91</v>
      </c>
    </row>
    <row r="30" spans="1:29" ht="40.5">
      <c r="A30" s="170">
        <f t="shared" si="1"/>
        <v>27</v>
      </c>
      <c r="B30" s="169" t="s">
        <v>282</v>
      </c>
      <c r="C30" s="128">
        <v>0.7</v>
      </c>
      <c r="D30" s="132" t="s">
        <v>335</v>
      </c>
      <c r="E30" s="132">
        <v>2</v>
      </c>
      <c r="F30" s="132">
        <v>124.38</v>
      </c>
      <c r="G30" s="129">
        <f>(AB29*E30/100)/(ABS(M30-O30)*F30)</f>
        <v>68326.044867112447</v>
      </c>
      <c r="H30" s="129">
        <v>69000</v>
      </c>
      <c r="I30" s="143" t="s">
        <v>285</v>
      </c>
      <c r="J30" s="132" t="s">
        <v>197</v>
      </c>
      <c r="K30" s="132" t="s">
        <v>284</v>
      </c>
      <c r="L30">
        <v>1.5672299999999999</v>
      </c>
      <c r="M30">
        <f>1.56715+C30/10000</f>
        <v>1.5672200000000001</v>
      </c>
      <c r="N30" s="132" t="s">
        <v>283</v>
      </c>
      <c r="O30" s="132">
        <v>1.5651200000000001</v>
      </c>
      <c r="P30" s="132" t="s">
        <v>130</v>
      </c>
      <c r="Q30" s="128" t="s">
        <v>308</v>
      </c>
      <c r="R30" s="128" t="s">
        <v>310</v>
      </c>
      <c r="S30">
        <v>1.56514</v>
      </c>
      <c r="T30" s="132" t="s">
        <v>130</v>
      </c>
      <c r="U30" s="143" t="s">
        <v>79</v>
      </c>
      <c r="V30" s="128">
        <v>-1</v>
      </c>
      <c r="W30" s="157">
        <f t="shared" si="12"/>
        <v>-20.899999999999253</v>
      </c>
      <c r="X30" s="157"/>
      <c r="Y30" s="130">
        <f t="shared" si="3"/>
        <v>-17936.839799999358</v>
      </c>
      <c r="Z30" s="130">
        <v>-690</v>
      </c>
      <c r="AA30" s="130">
        <f t="shared" si="4"/>
        <v>-18626.839799999358</v>
      </c>
      <c r="AB30" s="150">
        <f t="shared" si="5"/>
        <v>873704.47355999856</v>
      </c>
      <c r="AC30" s="143"/>
    </row>
    <row r="31" spans="1:29" ht="67.5">
      <c r="A31" s="170">
        <f t="shared" si="1"/>
        <v>28</v>
      </c>
      <c r="B31" s="169" t="s">
        <v>286</v>
      </c>
      <c r="C31" s="128">
        <v>1.1000000000000001</v>
      </c>
      <c r="D31" s="132" t="s">
        <v>337</v>
      </c>
      <c r="E31" s="132">
        <v>2</v>
      </c>
      <c r="F31" s="132">
        <v>127</v>
      </c>
      <c r="G31" s="129">
        <f t="shared" ref="G31" si="13">(AB30*E31/100)/(ABS(M31-O31)*F31)</f>
        <v>36018.653319040393</v>
      </c>
      <c r="H31" s="129">
        <v>37000</v>
      </c>
      <c r="I31" s="144" t="s">
        <v>289</v>
      </c>
      <c r="J31" s="132" t="s">
        <v>197</v>
      </c>
      <c r="K31" s="161" t="s">
        <v>290</v>
      </c>
      <c r="M31">
        <f>1.07635-C31/10000</f>
        <v>1.0762399999999999</v>
      </c>
      <c r="N31" s="132" t="s">
        <v>287</v>
      </c>
      <c r="O31" s="132">
        <v>1.08006</v>
      </c>
      <c r="P31" s="132" t="s">
        <v>130</v>
      </c>
      <c r="Q31" s="128"/>
      <c r="R31" s="128"/>
      <c r="T31" s="132" t="s">
        <v>306</v>
      </c>
      <c r="U31" s="143" t="s">
        <v>79</v>
      </c>
      <c r="V31" s="128">
        <v>0</v>
      </c>
      <c r="W31" s="157">
        <f t="shared" si="12"/>
        <v>0</v>
      </c>
      <c r="X31" s="157">
        <f t="shared" si="0"/>
        <v>0</v>
      </c>
      <c r="Y31" s="130">
        <f t="shared" si="3"/>
        <v>0</v>
      </c>
      <c r="Z31" s="130"/>
      <c r="AA31" s="130">
        <f t="shared" si="4"/>
        <v>0</v>
      </c>
      <c r="AB31" s="150">
        <f t="shared" si="5"/>
        <v>873704.47355999856</v>
      </c>
      <c r="AC31" s="143"/>
    </row>
    <row r="32" spans="1:29" ht="67.5">
      <c r="A32" s="170">
        <f t="shared" si="1"/>
        <v>29</v>
      </c>
      <c r="B32" s="169" t="s">
        <v>278</v>
      </c>
      <c r="C32" s="128">
        <v>1.4</v>
      </c>
      <c r="D32" s="132" t="s">
        <v>335</v>
      </c>
      <c r="E32" s="132">
        <v>2</v>
      </c>
      <c r="F32" s="132">
        <v>1</v>
      </c>
      <c r="G32" s="129">
        <f t="shared" ref="G32:G38" si="14">(AB31*E32/100)/(ABS(M32-O32)*F32)</f>
        <v>9962.4227315849857</v>
      </c>
      <c r="H32" s="129">
        <v>6000</v>
      </c>
      <c r="I32" s="143" t="s">
        <v>279</v>
      </c>
      <c r="J32" s="132" t="s">
        <v>197</v>
      </c>
      <c r="K32" s="161" t="s">
        <v>312</v>
      </c>
      <c r="M32">
        <f>195.259+C32/100</f>
        <v>195.273</v>
      </c>
      <c r="N32" s="132" t="s">
        <v>280</v>
      </c>
      <c r="O32" s="132">
        <v>193.51900000000001</v>
      </c>
      <c r="P32" s="132" t="s">
        <v>281</v>
      </c>
      <c r="Q32" s="128"/>
      <c r="R32" s="128"/>
      <c r="T32" s="132" t="s">
        <v>344</v>
      </c>
      <c r="U32" s="143" t="s">
        <v>79</v>
      </c>
      <c r="V32" s="128">
        <v>0</v>
      </c>
      <c r="W32" s="157">
        <f t="shared" si="12"/>
        <v>0</v>
      </c>
      <c r="X32" s="157">
        <f>ABS(L32-S32)*100*V32</f>
        <v>0</v>
      </c>
      <c r="Y32" s="130">
        <f>ABS(L32-S32)*H32*V32*F32</f>
        <v>0</v>
      </c>
      <c r="Z32" s="130"/>
      <c r="AA32" s="130">
        <f>Y32+Z32</f>
        <v>0</v>
      </c>
      <c r="AB32" s="150">
        <f t="shared" si="5"/>
        <v>873704.47355999856</v>
      </c>
      <c r="AC32" s="144" t="s">
        <v>91</v>
      </c>
    </row>
    <row r="33" spans="1:31" ht="54">
      <c r="A33" s="170">
        <f t="shared" si="1"/>
        <v>30</v>
      </c>
      <c r="B33" s="169" t="s">
        <v>243</v>
      </c>
      <c r="C33" s="128">
        <v>0.4</v>
      </c>
      <c r="D33" s="132" t="s">
        <v>335</v>
      </c>
      <c r="E33" s="132">
        <v>2</v>
      </c>
      <c r="F33" s="132">
        <v>124</v>
      </c>
      <c r="G33" s="129">
        <f t="shared" si="14"/>
        <v>22547.212220902868</v>
      </c>
      <c r="H33" s="129">
        <v>23000</v>
      </c>
      <c r="I33" s="144" t="s">
        <v>297</v>
      </c>
      <c r="J33" s="132" t="s">
        <v>219</v>
      </c>
      <c r="K33" s="161" t="s">
        <v>317</v>
      </c>
      <c r="M33">
        <f>1.57007+C33/10000</f>
        <v>1.5701100000000001</v>
      </c>
      <c r="N33" s="132" t="s">
        <v>294</v>
      </c>
      <c r="O33" s="132">
        <v>1.56386</v>
      </c>
      <c r="P33" s="132" t="s">
        <v>295</v>
      </c>
      <c r="Q33" s="128"/>
      <c r="R33" s="128"/>
      <c r="T33" s="132" t="s">
        <v>344</v>
      </c>
      <c r="U33" s="143" t="s">
        <v>79</v>
      </c>
      <c r="V33" s="128">
        <v>0</v>
      </c>
      <c r="W33" s="157">
        <f>ABS(S33-L33)*10000*V33</f>
        <v>0</v>
      </c>
      <c r="X33" s="157"/>
      <c r="Y33" s="130">
        <f>ABS(M33-S33)*H33*V33*F33</f>
        <v>0</v>
      </c>
      <c r="Z33" s="130"/>
      <c r="AA33" s="130">
        <f>Y33+Z33</f>
        <v>0</v>
      </c>
      <c r="AB33" s="150">
        <f t="shared" si="5"/>
        <v>873704.47355999856</v>
      </c>
      <c r="AC33" s="143"/>
    </row>
    <row r="34" spans="1:31" ht="54">
      <c r="A34" s="170">
        <f t="shared" si="1"/>
        <v>31</v>
      </c>
      <c r="B34" s="169" t="s">
        <v>271</v>
      </c>
      <c r="C34" s="128">
        <v>2</v>
      </c>
      <c r="D34" s="132" t="s">
        <v>335</v>
      </c>
      <c r="E34" s="132">
        <v>2</v>
      </c>
      <c r="F34" s="132">
        <v>90.855000000000004</v>
      </c>
      <c r="G34" s="129">
        <f t="shared" si="14"/>
        <v>18618.530511927645</v>
      </c>
      <c r="H34" s="129">
        <v>19000</v>
      </c>
      <c r="I34" s="143" t="s">
        <v>272</v>
      </c>
      <c r="J34" s="132" t="s">
        <v>273</v>
      </c>
      <c r="K34" s="132" t="s">
        <v>311</v>
      </c>
      <c r="L34">
        <v>1.51098</v>
      </c>
      <c r="M34">
        <v>1.51098</v>
      </c>
      <c r="N34" s="132" t="s">
        <v>319</v>
      </c>
      <c r="O34" s="132">
        <v>1.50065</v>
      </c>
      <c r="P34" s="132" t="s">
        <v>130</v>
      </c>
      <c r="Q34" s="128" t="s">
        <v>326</v>
      </c>
      <c r="R34" s="128" t="s">
        <v>327</v>
      </c>
      <c r="S34">
        <v>1.5225599999999999</v>
      </c>
      <c r="T34" s="128" t="s">
        <v>328</v>
      </c>
      <c r="U34" s="143" t="s">
        <v>79</v>
      </c>
      <c r="V34" s="128">
        <v>1</v>
      </c>
      <c r="W34" s="157">
        <f>ABS(S34-L34)*10000*V34</f>
        <v>115.79999999999924</v>
      </c>
      <c r="X34" s="157"/>
      <c r="Y34" s="130">
        <f>ABS(L34-S34)*H34*V34*F34</f>
        <v>19989.917099999871</v>
      </c>
      <c r="Z34" s="130">
        <f>-190-673</f>
        <v>-863</v>
      </c>
      <c r="AA34" s="130">
        <f>Y34+Z34</f>
        <v>19126.917099999871</v>
      </c>
      <c r="AB34" s="150">
        <f t="shared" si="5"/>
        <v>892831.3906599984</v>
      </c>
      <c r="AC34" s="144" t="s">
        <v>91</v>
      </c>
    </row>
    <row r="35" spans="1:31" ht="40.5">
      <c r="A35" s="170">
        <f t="shared" si="1"/>
        <v>32</v>
      </c>
      <c r="B35" s="169" t="s">
        <v>291</v>
      </c>
      <c r="C35" s="128">
        <v>1.9</v>
      </c>
      <c r="D35" s="132" t="s">
        <v>335</v>
      </c>
      <c r="E35" s="132">
        <v>2</v>
      </c>
      <c r="F35" s="132">
        <v>90.855000000000004</v>
      </c>
      <c r="G35" s="129">
        <f t="shared" si="14"/>
        <v>60848.249892957399</v>
      </c>
      <c r="H35" s="129">
        <v>61000</v>
      </c>
      <c r="I35" s="144" t="s">
        <v>296</v>
      </c>
      <c r="J35" s="132" t="s">
        <v>292</v>
      </c>
      <c r="K35" s="132" t="s">
        <v>293</v>
      </c>
      <c r="L35">
        <v>1.5133399999999999</v>
      </c>
      <c r="M35">
        <f>1.51313+C35/10000</f>
        <v>1.51332</v>
      </c>
      <c r="N35" s="132" t="s">
        <v>318</v>
      </c>
      <c r="O35" s="132">
        <v>1.5100899999999999</v>
      </c>
      <c r="P35" s="132" t="s">
        <v>130</v>
      </c>
      <c r="Q35" s="128" t="s">
        <v>326</v>
      </c>
      <c r="R35" s="128" t="s">
        <v>327</v>
      </c>
      <c r="S35">
        <v>1.5225599999999999</v>
      </c>
      <c r="T35" s="128" t="s">
        <v>328</v>
      </c>
      <c r="U35" s="143" t="s">
        <v>79</v>
      </c>
      <c r="V35" s="128">
        <v>1</v>
      </c>
      <c r="W35" s="157">
        <f t="shared" si="12"/>
        <v>92.20000000000006</v>
      </c>
      <c r="X35" s="157"/>
      <c r="Y35" s="130">
        <f t="shared" si="3"/>
        <v>51098.669100000043</v>
      </c>
      <c r="Z35" s="130">
        <v>-610</v>
      </c>
      <c r="AA35" s="130">
        <f t="shared" si="4"/>
        <v>50488.669100000043</v>
      </c>
      <c r="AB35" s="150">
        <f t="shared" si="5"/>
        <v>943320.05975999846</v>
      </c>
      <c r="AC35" s="143"/>
    </row>
    <row r="36" spans="1:31" ht="27">
      <c r="A36" s="170">
        <f t="shared" si="1"/>
        <v>33</v>
      </c>
      <c r="B36" s="169" t="s">
        <v>313</v>
      </c>
      <c r="C36" s="128">
        <v>1.2</v>
      </c>
      <c r="D36" s="132" t="s">
        <v>379</v>
      </c>
      <c r="E36" s="132">
        <v>2</v>
      </c>
      <c r="F36" s="132">
        <v>1</v>
      </c>
      <c r="G36" s="129">
        <f t="shared" si="14"/>
        <v>73696.879668749825</v>
      </c>
      <c r="H36" s="129">
        <v>68000</v>
      </c>
      <c r="I36" s="144" t="s">
        <v>315</v>
      </c>
      <c r="J36" s="132" t="s">
        <v>205</v>
      </c>
      <c r="K36" s="161" t="s">
        <v>317</v>
      </c>
      <c r="M36">
        <f>138.199+C36/100</f>
        <v>138.21100000000001</v>
      </c>
      <c r="N36" s="132" t="s">
        <v>314</v>
      </c>
      <c r="O36" s="132">
        <v>137.95500000000001</v>
      </c>
      <c r="P36" s="132" t="s">
        <v>130</v>
      </c>
      <c r="Q36" s="128"/>
      <c r="U36" s="143" t="s">
        <v>79</v>
      </c>
      <c r="V36" s="128">
        <v>0</v>
      </c>
      <c r="W36" s="157">
        <f t="shared" ref="W36:W37" si="15">ABS(S36-L36)*10000*V36</f>
        <v>0</v>
      </c>
      <c r="X36" s="157">
        <f t="shared" ref="X36" si="16">ABS(L36-S36)*100*V36</f>
        <v>0</v>
      </c>
      <c r="Y36" s="130">
        <f t="shared" ref="Y36:Y37" si="17">ABS(L36-S36)*H36*V36*F36</f>
        <v>0</v>
      </c>
      <c r="Z36" s="130"/>
      <c r="AA36" s="130">
        <f t="shared" ref="AA36:AA37" si="18">Y36+Z36</f>
        <v>0</v>
      </c>
      <c r="AB36" s="150">
        <f t="shared" ref="AB36:AB37" si="19">AB35+AA36</f>
        <v>943320.05975999846</v>
      </c>
    </row>
    <row r="37" spans="1:31" ht="27">
      <c r="A37" s="170">
        <f t="shared" si="1"/>
        <v>34</v>
      </c>
      <c r="B37" s="174" t="s">
        <v>316</v>
      </c>
      <c r="C37" s="128">
        <v>0.6</v>
      </c>
      <c r="D37" t="s">
        <v>335</v>
      </c>
      <c r="E37" s="132">
        <v>2</v>
      </c>
      <c r="F37" s="132">
        <v>122.05</v>
      </c>
      <c r="G37" s="129">
        <f t="shared" si="14"/>
        <v>24536.393743391734</v>
      </c>
      <c r="H37" s="129">
        <v>22000</v>
      </c>
      <c r="I37" s="143" t="s">
        <v>320</v>
      </c>
      <c r="J37" s="132" t="s">
        <v>197</v>
      </c>
      <c r="K37" s="161" t="s">
        <v>322</v>
      </c>
      <c r="L37">
        <v>0.66232999999999997</v>
      </c>
      <c r="M37">
        <f>0.66227+C37/10000</f>
        <v>0.66232999999999997</v>
      </c>
      <c r="N37" s="132" t="s">
        <v>323</v>
      </c>
      <c r="O37" s="132">
        <v>0.65603</v>
      </c>
      <c r="P37" s="132" t="s">
        <v>130</v>
      </c>
      <c r="Q37" s="128" t="s">
        <v>326</v>
      </c>
      <c r="R37" s="128" t="s">
        <v>367</v>
      </c>
      <c r="S37">
        <v>0.66669999999999996</v>
      </c>
      <c r="T37" s="128" t="s">
        <v>368</v>
      </c>
      <c r="U37" s="143" t="s">
        <v>79</v>
      </c>
      <c r="V37">
        <v>1</v>
      </c>
      <c r="W37" s="157">
        <f t="shared" si="15"/>
        <v>43.699999999999847</v>
      </c>
      <c r="X37" s="157"/>
      <c r="Y37" s="130">
        <f t="shared" si="17"/>
        <v>11733.886999999961</v>
      </c>
      <c r="Z37" s="130">
        <f>-220+184</f>
        <v>-36</v>
      </c>
      <c r="AA37" s="130">
        <f t="shared" si="18"/>
        <v>11697.886999999961</v>
      </c>
      <c r="AB37" s="150">
        <f t="shared" si="19"/>
        <v>955017.94675999845</v>
      </c>
    </row>
    <row r="38" spans="1:31" ht="27">
      <c r="A38" s="170">
        <f t="shared" si="1"/>
        <v>35</v>
      </c>
      <c r="B38" s="168" t="s">
        <v>192</v>
      </c>
      <c r="C38" s="128">
        <v>0.7</v>
      </c>
      <c r="D38" s="132" t="s">
        <v>337</v>
      </c>
      <c r="E38" s="132">
        <v>2</v>
      </c>
      <c r="F38" s="132">
        <v>1</v>
      </c>
      <c r="G38" s="129">
        <f t="shared" si="14"/>
        <v>57015.996821491091</v>
      </c>
      <c r="H38" s="129">
        <v>52000</v>
      </c>
      <c r="I38" s="144" t="s">
        <v>329</v>
      </c>
      <c r="J38" s="132" t="s">
        <v>321</v>
      </c>
      <c r="K38" s="161" t="s">
        <v>330</v>
      </c>
      <c r="L38">
        <v>123.77800000000001</v>
      </c>
      <c r="M38">
        <f>123.785-C38/100</f>
        <v>123.77799999999999</v>
      </c>
      <c r="N38" s="132" t="s">
        <v>331</v>
      </c>
      <c r="O38" s="132">
        <v>124.113</v>
      </c>
      <c r="P38" s="132" t="s">
        <v>130</v>
      </c>
      <c r="Q38" s="128" t="s">
        <v>326</v>
      </c>
      <c r="R38" s="128" t="s">
        <v>341</v>
      </c>
      <c r="S38">
        <v>122.054</v>
      </c>
      <c r="T38" s="128" t="s">
        <v>342</v>
      </c>
      <c r="U38" s="143" t="s">
        <v>79</v>
      </c>
      <c r="V38" s="128">
        <v>1</v>
      </c>
      <c r="W38" s="157"/>
      <c r="X38" s="157">
        <f t="shared" si="0"/>
        <v>172.40000000000038</v>
      </c>
      <c r="Y38" s="130">
        <f t="shared" si="3"/>
        <v>89648.000000000189</v>
      </c>
      <c r="Z38" s="130">
        <f>-208-68</f>
        <v>-276</v>
      </c>
      <c r="AA38" s="130">
        <f t="shared" si="4"/>
        <v>89372.000000000189</v>
      </c>
      <c r="AB38" s="150">
        <f t="shared" si="5"/>
        <v>1044389.9467599987</v>
      </c>
      <c r="AC38" s="143"/>
    </row>
    <row r="39" spans="1:31" ht="67.5">
      <c r="A39" s="170">
        <f t="shared" si="1"/>
        <v>36</v>
      </c>
      <c r="B39" s="168" t="s">
        <v>324</v>
      </c>
      <c r="C39" s="128">
        <v>2.2000000000000002</v>
      </c>
      <c r="D39" s="132" t="s">
        <v>325</v>
      </c>
      <c r="E39" s="132">
        <v>2</v>
      </c>
      <c r="F39" s="132">
        <v>87.644999999999996</v>
      </c>
      <c r="G39" s="129">
        <f t="shared" si="8"/>
        <v>26717.799018512927</v>
      </c>
      <c r="H39" s="129">
        <v>21000</v>
      </c>
      <c r="I39" s="144" t="s">
        <v>352</v>
      </c>
      <c r="J39" s="132" t="s">
        <v>197</v>
      </c>
      <c r="K39" s="161" t="s">
        <v>333</v>
      </c>
      <c r="L39">
        <v>1.53138</v>
      </c>
      <c r="M39">
        <f>1.53114+C39/10000</f>
        <v>1.5313600000000001</v>
      </c>
      <c r="N39" s="132" t="s">
        <v>332</v>
      </c>
      <c r="O39" s="132">
        <v>1.52244</v>
      </c>
      <c r="P39" s="132" t="s">
        <v>130</v>
      </c>
      <c r="Q39" s="128" t="s">
        <v>205</v>
      </c>
      <c r="R39" s="128" t="s">
        <v>370</v>
      </c>
      <c r="S39">
        <v>1.5831200000000001</v>
      </c>
      <c r="T39" s="144" t="s">
        <v>369</v>
      </c>
      <c r="U39" s="143" t="s">
        <v>79</v>
      </c>
      <c r="V39" s="132">
        <v>1</v>
      </c>
      <c r="W39" s="157">
        <f t="shared" si="12"/>
        <v>517.40000000000123</v>
      </c>
      <c r="X39" s="157"/>
      <c r="Y39" s="130">
        <f t="shared" si="3"/>
        <v>95229.798300000213</v>
      </c>
      <c r="Z39" s="130">
        <f>-210-496</f>
        <v>-706</v>
      </c>
      <c r="AA39" s="130">
        <f t="shared" si="4"/>
        <v>94523.798300000213</v>
      </c>
      <c r="AB39" s="150">
        <f t="shared" si="5"/>
        <v>1138913.7450599989</v>
      </c>
      <c r="AC39" s="143"/>
    </row>
    <row r="40" spans="1:31" ht="67.5">
      <c r="A40" s="170">
        <f t="shared" si="1"/>
        <v>37</v>
      </c>
      <c r="B40" s="168" t="s">
        <v>334</v>
      </c>
      <c r="C40" s="128">
        <v>0.7</v>
      </c>
      <c r="D40" s="132" t="s">
        <v>335</v>
      </c>
      <c r="E40" s="132">
        <v>2</v>
      </c>
      <c r="F40" s="132">
        <v>120.94</v>
      </c>
      <c r="G40" s="129">
        <f t="shared" ref="G40:G61" si="20">(AB39*E40/100)/(ABS(M40-O40)*F40)</f>
        <v>19517.471431643498</v>
      </c>
      <c r="H40" s="129">
        <v>16000</v>
      </c>
      <c r="I40" s="143" t="s">
        <v>338</v>
      </c>
      <c r="J40" s="132" t="s">
        <v>339</v>
      </c>
      <c r="K40" s="161" t="s">
        <v>340</v>
      </c>
      <c r="L40">
        <v>1.5701499999999999</v>
      </c>
      <c r="M40">
        <f>1.57007+C40/10000</f>
        <v>1.5701400000000001</v>
      </c>
      <c r="N40" s="132" t="s">
        <v>336</v>
      </c>
      <c r="O40" s="132">
        <v>1.5604899999999999</v>
      </c>
      <c r="P40" s="132" t="s">
        <v>130</v>
      </c>
      <c r="Q40" s="128" t="s">
        <v>371</v>
      </c>
      <c r="R40" s="128" t="s">
        <v>372</v>
      </c>
      <c r="S40">
        <v>1.5682</v>
      </c>
      <c r="T40" s="144" t="s">
        <v>373</v>
      </c>
      <c r="U40" s="143" t="s">
        <v>79</v>
      </c>
      <c r="V40" s="132">
        <v>-1</v>
      </c>
      <c r="W40" s="157">
        <f t="shared" ref="W40:W60" si="21">ABS(S40-L40)*10000*V40</f>
        <v>-19.499999999998963</v>
      </c>
      <c r="X40" s="157"/>
      <c r="Y40" s="130">
        <f t="shared" ref="Y40:Y61" si="22">ABS(L40-S40)*H40*V40*F40</f>
        <v>-3773.327999999799</v>
      </c>
      <c r="Z40" s="130">
        <f>-160+14</f>
        <v>-146</v>
      </c>
      <c r="AA40" s="130">
        <f t="shared" ref="AA40:AA61" si="23">Y40+Z40</f>
        <v>-3919.327999999799</v>
      </c>
      <c r="AB40" s="150">
        <f t="shared" ref="AB40:AB61" si="24">AB39+AA40</f>
        <v>1134994.4170599992</v>
      </c>
      <c r="AC40" s="143"/>
      <c r="AE40" s="144" t="s">
        <v>374</v>
      </c>
    </row>
    <row r="41" spans="1:31" ht="67.5">
      <c r="A41" s="170">
        <v>38</v>
      </c>
      <c r="B41" s="168" t="s">
        <v>192</v>
      </c>
      <c r="C41" s="128">
        <v>0.8</v>
      </c>
      <c r="D41" s="132" t="s">
        <v>380</v>
      </c>
      <c r="E41" s="132">
        <v>2</v>
      </c>
      <c r="F41" s="132">
        <v>1</v>
      </c>
      <c r="G41" s="129">
        <f t="shared" si="20"/>
        <v>76948.774037965602</v>
      </c>
      <c r="H41" s="129">
        <v>77000</v>
      </c>
      <c r="I41" s="143" t="s">
        <v>381</v>
      </c>
      <c r="J41" s="132" t="s">
        <v>205</v>
      </c>
      <c r="K41" s="161" t="s">
        <v>383</v>
      </c>
      <c r="L41">
        <v>120.194</v>
      </c>
      <c r="M41">
        <f>120.185+C41/100</f>
        <v>120.193</v>
      </c>
      <c r="N41" s="175" t="s">
        <v>382</v>
      </c>
      <c r="O41" s="132">
        <v>119.898</v>
      </c>
      <c r="P41" s="132" t="s">
        <v>130</v>
      </c>
      <c r="Q41" s="128"/>
      <c r="R41" s="128" t="s">
        <v>385</v>
      </c>
      <c r="S41">
        <v>119.89700000000001</v>
      </c>
      <c r="T41" s="132" t="s">
        <v>130</v>
      </c>
      <c r="U41" s="143" t="s">
        <v>79</v>
      </c>
      <c r="V41" s="132">
        <v>-1</v>
      </c>
      <c r="W41" s="157"/>
      <c r="X41" s="157">
        <f t="shared" ref="X41:X61" si="25">ABS(L41-S41)*100*V41</f>
        <v>-29.699999999999704</v>
      </c>
      <c r="Y41" s="130">
        <f t="shared" si="22"/>
        <v>-22868.999999999771</v>
      </c>
      <c r="Z41" s="130">
        <v>-308</v>
      </c>
      <c r="AA41" s="130">
        <f t="shared" si="23"/>
        <v>-23176.999999999771</v>
      </c>
      <c r="AB41" s="150">
        <f t="shared" si="24"/>
        <v>1111817.4170599994</v>
      </c>
      <c r="AC41" s="144" t="s">
        <v>386</v>
      </c>
    </row>
    <row r="42" spans="1:31" ht="40.5">
      <c r="A42" s="170">
        <v>39</v>
      </c>
      <c r="B42" s="168" t="s">
        <v>127</v>
      </c>
      <c r="C42" s="128">
        <v>2</v>
      </c>
      <c r="D42" s="132" t="s">
        <v>380</v>
      </c>
      <c r="E42" s="132">
        <v>2</v>
      </c>
      <c r="F42" s="132">
        <v>1</v>
      </c>
      <c r="G42" s="129">
        <f t="shared" si="20"/>
        <v>33589.65006223676</v>
      </c>
      <c r="H42" s="129">
        <v>34000</v>
      </c>
      <c r="I42" s="143" t="s">
        <v>384</v>
      </c>
      <c r="J42" s="128"/>
      <c r="K42" s="161" t="s">
        <v>387</v>
      </c>
      <c r="M42">
        <v>189.77199999999999</v>
      </c>
      <c r="N42" s="132" t="s">
        <v>382</v>
      </c>
      <c r="O42" s="132">
        <v>189.11</v>
      </c>
      <c r="P42" s="132" t="s">
        <v>130</v>
      </c>
      <c r="Q42" s="128"/>
      <c r="R42" s="128"/>
      <c r="T42" s="132" t="s">
        <v>388</v>
      </c>
      <c r="U42" s="143" t="s">
        <v>79</v>
      </c>
      <c r="V42" s="132">
        <v>0</v>
      </c>
      <c r="W42" s="157">
        <f t="shared" si="21"/>
        <v>0</v>
      </c>
      <c r="X42" s="157">
        <f t="shared" si="25"/>
        <v>0</v>
      </c>
      <c r="Y42" s="130">
        <f t="shared" si="22"/>
        <v>0</v>
      </c>
      <c r="Z42" s="130"/>
      <c r="AA42" s="130">
        <f t="shared" si="23"/>
        <v>0</v>
      </c>
      <c r="AB42" s="150">
        <f t="shared" si="24"/>
        <v>1111817.4170599994</v>
      </c>
      <c r="AC42" s="143"/>
    </row>
    <row r="43" spans="1:31" ht="67.5">
      <c r="A43" s="170">
        <v>40</v>
      </c>
      <c r="B43" s="168" t="s">
        <v>389</v>
      </c>
      <c r="C43" s="128">
        <v>1.4</v>
      </c>
      <c r="D43" s="132" t="s">
        <v>128</v>
      </c>
      <c r="E43" s="132">
        <v>2</v>
      </c>
      <c r="F43" s="132">
        <v>1</v>
      </c>
      <c r="G43" s="129">
        <f t="shared" si="20"/>
        <v>41485.724517164053</v>
      </c>
      <c r="H43" s="129">
        <v>41000</v>
      </c>
      <c r="I43" s="144" t="s">
        <v>390</v>
      </c>
      <c r="J43" s="128" t="s">
        <v>197</v>
      </c>
      <c r="K43" s="161" t="s">
        <v>392</v>
      </c>
      <c r="L43">
        <v>137.03800000000001</v>
      </c>
      <c r="M43">
        <f>137.056-C43/100</f>
        <v>137.042</v>
      </c>
      <c r="N43" s="132" t="s">
        <v>391</v>
      </c>
      <c r="O43" s="132">
        <v>137.578</v>
      </c>
      <c r="P43" s="132" t="s">
        <v>130</v>
      </c>
      <c r="Q43" s="128" t="s">
        <v>407</v>
      </c>
      <c r="R43" s="128" t="s">
        <v>408</v>
      </c>
      <c r="S43">
        <v>136.001</v>
      </c>
      <c r="T43" s="132" t="s">
        <v>409</v>
      </c>
      <c r="U43" s="143" t="s">
        <v>79</v>
      </c>
      <c r="V43" s="132">
        <v>1</v>
      </c>
      <c r="W43" s="157"/>
      <c r="X43" s="157">
        <f t="shared" si="25"/>
        <v>103.70000000000061</v>
      </c>
      <c r="Y43" s="130">
        <f t="shared" si="22"/>
        <v>42517.000000000255</v>
      </c>
      <c r="Z43" s="130">
        <f>-246+62</f>
        <v>-184</v>
      </c>
      <c r="AA43" s="130">
        <f t="shared" si="23"/>
        <v>42333.000000000255</v>
      </c>
      <c r="AB43" s="150">
        <f t="shared" si="24"/>
        <v>1154150.4170599997</v>
      </c>
      <c r="AC43" s="144" t="s">
        <v>410</v>
      </c>
    </row>
    <row r="44" spans="1:31" ht="67.5">
      <c r="A44" s="170">
        <v>41</v>
      </c>
      <c r="B44" s="168" t="s">
        <v>394</v>
      </c>
      <c r="C44" s="128"/>
      <c r="D44" s="132" t="s">
        <v>393</v>
      </c>
      <c r="E44" s="132">
        <v>2</v>
      </c>
      <c r="F44" s="132">
        <v>1</v>
      </c>
      <c r="G44" s="129">
        <f t="shared" si="20"/>
        <v>21157.661174335582</v>
      </c>
      <c r="H44" s="129">
        <v>20000</v>
      </c>
      <c r="I44" s="143" t="s">
        <v>395</v>
      </c>
      <c r="J44" s="128" t="s">
        <v>197</v>
      </c>
      <c r="K44" s="161" t="s">
        <v>398</v>
      </c>
      <c r="L44">
        <v>84.462999999999994</v>
      </c>
      <c r="M44">
        <v>84.462000000000003</v>
      </c>
      <c r="N44" s="132" t="s">
        <v>396</v>
      </c>
      <c r="O44" s="132">
        <v>85.552999999999997</v>
      </c>
      <c r="P44" s="132" t="s">
        <v>397</v>
      </c>
      <c r="Q44" s="128" t="s">
        <v>403</v>
      </c>
      <c r="R44" s="128" t="s">
        <v>404</v>
      </c>
      <c r="S44" s="132">
        <v>85.552999999999997</v>
      </c>
      <c r="T44" s="132" t="s">
        <v>405</v>
      </c>
      <c r="U44" s="143" t="s">
        <v>79</v>
      </c>
      <c r="V44" s="132">
        <v>-1</v>
      </c>
      <c r="W44" s="157"/>
      <c r="X44" s="157">
        <f t="shared" si="25"/>
        <v>-109.00000000000034</v>
      </c>
      <c r="Y44" s="130">
        <f t="shared" si="22"/>
        <v>-21800.000000000069</v>
      </c>
      <c r="Z44" s="130">
        <f>-120-378</f>
        <v>-498</v>
      </c>
      <c r="AA44" s="130">
        <f t="shared" si="23"/>
        <v>-22298.000000000069</v>
      </c>
      <c r="AB44" s="150">
        <f t="shared" si="24"/>
        <v>1131852.4170599997</v>
      </c>
      <c r="AC44" s="144" t="s">
        <v>406</v>
      </c>
    </row>
    <row r="45" spans="1:31" ht="94.5">
      <c r="A45" s="170">
        <v>42</v>
      </c>
      <c r="B45" s="168" t="s">
        <v>70</v>
      </c>
      <c r="C45" s="128">
        <v>1.8</v>
      </c>
      <c r="D45" s="132" t="s">
        <v>399</v>
      </c>
      <c r="E45" s="132">
        <v>2</v>
      </c>
      <c r="F45" s="132">
        <v>1</v>
      </c>
      <c r="G45" s="129">
        <f t="shared" si="20"/>
        <v>30882.739892496407</v>
      </c>
      <c r="H45" s="129">
        <v>30000</v>
      </c>
      <c r="I45" s="143" t="s">
        <v>400</v>
      </c>
      <c r="J45" s="128" t="s">
        <v>197</v>
      </c>
      <c r="K45" s="161" t="s">
        <v>401</v>
      </c>
      <c r="L45">
        <v>120.02200000000001</v>
      </c>
      <c r="M45">
        <f>120.001+C45/100</f>
        <v>120.01900000000001</v>
      </c>
      <c r="N45" s="132" t="s">
        <v>402</v>
      </c>
      <c r="O45" s="132">
        <v>119.286</v>
      </c>
      <c r="P45" s="132" t="s">
        <v>130</v>
      </c>
      <c r="Q45" s="128" t="s">
        <v>415</v>
      </c>
      <c r="R45" s="128" t="s">
        <v>414</v>
      </c>
      <c r="S45" s="132">
        <v>120.089</v>
      </c>
      <c r="T45" s="161" t="s">
        <v>416</v>
      </c>
      <c r="U45" s="143" t="s">
        <v>79</v>
      </c>
      <c r="V45" s="132">
        <v>1</v>
      </c>
      <c r="W45" s="157"/>
      <c r="X45" s="157">
        <f t="shared" si="25"/>
        <v>6.6999999999993065</v>
      </c>
      <c r="Y45" s="130">
        <f t="shared" si="22"/>
        <v>2009.999999999792</v>
      </c>
      <c r="Z45" s="130">
        <v>-120</v>
      </c>
      <c r="AA45" s="130">
        <f t="shared" si="23"/>
        <v>1889.999999999792</v>
      </c>
      <c r="AB45" s="150">
        <f t="shared" si="24"/>
        <v>1133742.4170599994</v>
      </c>
      <c r="AC45" s="144" t="s">
        <v>417</v>
      </c>
    </row>
    <row r="46" spans="1:31" ht="81">
      <c r="A46" s="170">
        <v>43</v>
      </c>
      <c r="B46" s="168" t="s">
        <v>413</v>
      </c>
      <c r="C46" s="128">
        <v>3.8</v>
      </c>
      <c r="D46" s="132" t="s">
        <v>399</v>
      </c>
      <c r="E46" s="132">
        <v>2</v>
      </c>
      <c r="F46" s="132">
        <v>95</v>
      </c>
      <c r="G46" s="129" t="e">
        <f t="shared" si="20"/>
        <v>#DIV/0!</v>
      </c>
      <c r="H46" s="129"/>
      <c r="I46" s="143"/>
      <c r="J46" s="128"/>
      <c r="K46" s="132"/>
      <c r="N46" s="132" t="s">
        <v>411</v>
      </c>
      <c r="O46" s="128"/>
      <c r="P46" s="128"/>
      <c r="Q46" s="128"/>
      <c r="R46" s="128"/>
      <c r="T46" s="128"/>
      <c r="U46" s="143" t="s">
        <v>79</v>
      </c>
      <c r="V46" s="132">
        <v>0</v>
      </c>
      <c r="W46" s="157">
        <f t="shared" si="21"/>
        <v>0</v>
      </c>
      <c r="X46" s="157">
        <f t="shared" si="25"/>
        <v>0</v>
      </c>
      <c r="Y46" s="130">
        <f t="shared" si="22"/>
        <v>0</v>
      </c>
      <c r="Z46" s="130"/>
      <c r="AA46" s="130">
        <f t="shared" si="23"/>
        <v>0</v>
      </c>
      <c r="AB46" s="150">
        <f t="shared" si="24"/>
        <v>1133742.4170599994</v>
      </c>
      <c r="AC46" s="144" t="s">
        <v>412</v>
      </c>
    </row>
    <row r="47" spans="1:31" ht="40.5">
      <c r="A47" s="170">
        <v>44</v>
      </c>
      <c r="B47" s="168" t="s">
        <v>127</v>
      </c>
      <c r="C47" s="128">
        <v>1.8</v>
      </c>
      <c r="D47" s="132" t="s">
        <v>418</v>
      </c>
      <c r="E47" s="132">
        <v>2</v>
      </c>
      <c r="F47" s="132">
        <v>1</v>
      </c>
      <c r="G47" s="129">
        <f t="shared" si="20"/>
        <v>18570.719362162097</v>
      </c>
      <c r="H47" s="129">
        <v>18000</v>
      </c>
      <c r="I47" s="143" t="s">
        <v>419</v>
      </c>
      <c r="J47" s="128" t="s">
        <v>197</v>
      </c>
      <c r="K47" s="143" t="s">
        <v>424</v>
      </c>
      <c r="M47">
        <f>186.686+C47/100</f>
        <v>186.70400000000001</v>
      </c>
      <c r="N47" s="132" t="s">
        <v>433</v>
      </c>
      <c r="O47" s="128">
        <v>185.483</v>
      </c>
      <c r="P47" s="132" t="s">
        <v>130</v>
      </c>
      <c r="Q47" s="128"/>
      <c r="R47" s="128"/>
      <c r="T47" s="128" t="s">
        <v>425</v>
      </c>
      <c r="U47" s="143" t="s">
        <v>79</v>
      </c>
      <c r="V47" s="132">
        <v>0</v>
      </c>
      <c r="W47" s="157">
        <f t="shared" ref="W47" si="26">ABS(S47-L47)*10000*V47</f>
        <v>0</v>
      </c>
      <c r="X47" s="157">
        <f t="shared" ref="X47" si="27">ABS(L47-S47)*100*V47</f>
        <v>0</v>
      </c>
      <c r="Y47" s="130">
        <f t="shared" ref="Y47" si="28">ABS(L47-S47)*H47*V47*F47</f>
        <v>0</v>
      </c>
      <c r="Z47" s="130"/>
      <c r="AA47" s="130">
        <f t="shared" ref="AA47" si="29">Y47+Z47</f>
        <v>0</v>
      </c>
      <c r="AB47" s="150">
        <f t="shared" ref="AB47" si="30">AB46+AA47</f>
        <v>1133742.4170599994</v>
      </c>
      <c r="AC47" s="143"/>
    </row>
    <row r="48" spans="1:31" ht="67.5">
      <c r="A48" s="170">
        <v>45</v>
      </c>
      <c r="B48" s="168" t="s">
        <v>70</v>
      </c>
      <c r="C48" s="128">
        <v>0.8</v>
      </c>
      <c r="D48" s="132" t="s">
        <v>418</v>
      </c>
      <c r="E48" s="132">
        <v>2</v>
      </c>
      <c r="F48" s="132">
        <v>1</v>
      </c>
      <c r="G48" s="129">
        <f t="shared" si="20"/>
        <v>29640.324629019571</v>
      </c>
      <c r="H48" s="129">
        <v>29000</v>
      </c>
      <c r="I48" s="143" t="s">
        <v>420</v>
      </c>
      <c r="J48" s="128" t="s">
        <v>197</v>
      </c>
      <c r="K48" s="177" t="s">
        <v>426</v>
      </c>
      <c r="L48">
        <v>120.545</v>
      </c>
      <c r="M48">
        <f>120.536+C48/100</f>
        <v>120.544</v>
      </c>
      <c r="N48" s="132" t="s">
        <v>433</v>
      </c>
      <c r="O48" s="128">
        <v>119.779</v>
      </c>
      <c r="P48" s="132" t="s">
        <v>130</v>
      </c>
      <c r="Q48" s="128" t="s">
        <v>205</v>
      </c>
      <c r="R48" s="128" t="s">
        <v>454</v>
      </c>
      <c r="S48">
        <v>121.105</v>
      </c>
      <c r="T48" s="128" t="s">
        <v>455</v>
      </c>
      <c r="U48" s="143" t="s">
        <v>79</v>
      </c>
      <c r="V48" s="132">
        <v>1</v>
      </c>
      <c r="W48" s="157"/>
      <c r="X48" s="157">
        <f t="shared" si="25"/>
        <v>56.000000000000227</v>
      </c>
      <c r="Y48" s="130">
        <f t="shared" si="22"/>
        <v>16240.000000000065</v>
      </c>
      <c r="Z48" s="130">
        <f>-116+24</f>
        <v>-92</v>
      </c>
      <c r="AA48" s="130">
        <f t="shared" si="23"/>
        <v>16148.000000000065</v>
      </c>
      <c r="AB48" s="150">
        <f t="shared" si="24"/>
        <v>1149890.4170599994</v>
      </c>
      <c r="AC48" s="144" t="s">
        <v>456</v>
      </c>
    </row>
    <row r="49" spans="1:29" ht="54">
      <c r="A49" s="170">
        <v>46</v>
      </c>
      <c r="B49" s="168" t="s">
        <v>168</v>
      </c>
      <c r="C49" s="128">
        <v>1.4</v>
      </c>
      <c r="D49" s="132" t="s">
        <v>421</v>
      </c>
      <c r="E49" s="132">
        <v>2</v>
      </c>
      <c r="F49" s="132">
        <v>1</v>
      </c>
      <c r="G49" s="129">
        <f t="shared" si="20"/>
        <v>37033.507795812628</v>
      </c>
      <c r="H49" s="129">
        <v>36000</v>
      </c>
      <c r="I49" s="143" t="s">
        <v>422</v>
      </c>
      <c r="J49" s="128" t="s">
        <v>197</v>
      </c>
      <c r="K49" s="132" t="s">
        <v>423</v>
      </c>
      <c r="L49">
        <v>135.72800000000001</v>
      </c>
      <c r="M49">
        <f>135.742-C49/100</f>
        <v>135.72799999999998</v>
      </c>
      <c r="N49" s="132" t="s">
        <v>434</v>
      </c>
      <c r="O49" s="128">
        <v>136.34899999999999</v>
      </c>
      <c r="P49" s="132" t="s">
        <v>130</v>
      </c>
      <c r="Q49" s="128" t="s">
        <v>427</v>
      </c>
      <c r="R49" s="128" t="s">
        <v>428</v>
      </c>
      <c r="S49">
        <v>135.89099999999999</v>
      </c>
      <c r="T49" s="128" t="s">
        <v>429</v>
      </c>
      <c r="U49" s="143" t="s">
        <v>79</v>
      </c>
      <c r="V49" s="132">
        <v>-1</v>
      </c>
      <c r="W49" s="157"/>
      <c r="X49" s="157">
        <f t="shared" si="25"/>
        <v>-16.299999999998249</v>
      </c>
      <c r="Y49" s="130">
        <f t="shared" si="22"/>
        <v>-5867.9999999993697</v>
      </c>
      <c r="Z49" s="130">
        <v>-216</v>
      </c>
      <c r="AA49" s="130">
        <f t="shared" si="23"/>
        <v>-6083.9999999993697</v>
      </c>
      <c r="AB49" s="150">
        <f t="shared" si="24"/>
        <v>1143806.4170600001</v>
      </c>
      <c r="AC49" s="144" t="s">
        <v>430</v>
      </c>
    </row>
    <row r="50" spans="1:29" ht="54">
      <c r="A50" s="170">
        <v>47</v>
      </c>
      <c r="B50" s="168" t="s">
        <v>156</v>
      </c>
      <c r="C50" s="128">
        <v>2.2000000000000002</v>
      </c>
      <c r="D50" s="132" t="s">
        <v>431</v>
      </c>
      <c r="E50" s="132">
        <v>2</v>
      </c>
      <c r="F50" s="132">
        <v>1</v>
      </c>
      <c r="G50" s="129">
        <f t="shared" si="20"/>
        <v>32680.183344571298</v>
      </c>
      <c r="H50" s="129">
        <v>32000</v>
      </c>
      <c r="I50" s="143" t="s">
        <v>432</v>
      </c>
      <c r="J50" s="128" t="s">
        <v>205</v>
      </c>
      <c r="K50" s="177" t="s">
        <v>437</v>
      </c>
      <c r="L50">
        <v>86.963000000000008</v>
      </c>
      <c r="M50">
        <f>86.941+C50/100</f>
        <v>86.963000000000008</v>
      </c>
      <c r="N50" s="132" t="s">
        <v>435</v>
      </c>
      <c r="O50" s="128">
        <v>86.263000000000005</v>
      </c>
      <c r="P50" s="132" t="s">
        <v>436</v>
      </c>
      <c r="Q50" s="128" t="s">
        <v>205</v>
      </c>
      <c r="R50" s="128" t="s">
        <v>443</v>
      </c>
      <c r="S50">
        <v>86.260999999999996</v>
      </c>
      <c r="T50" s="144" t="s">
        <v>444</v>
      </c>
      <c r="U50" s="143" t="s">
        <v>79</v>
      </c>
      <c r="V50" s="132">
        <v>-1</v>
      </c>
      <c r="W50" s="157"/>
      <c r="X50" s="157">
        <f t="shared" si="25"/>
        <v>-70.200000000001239</v>
      </c>
      <c r="Y50" s="130">
        <f t="shared" si="22"/>
        <v>-22464.000000000397</v>
      </c>
      <c r="Z50" s="130">
        <f>-192-600</f>
        <v>-792</v>
      </c>
      <c r="AA50" s="130">
        <f t="shared" si="23"/>
        <v>-23256.000000000397</v>
      </c>
      <c r="AB50" s="150">
        <f t="shared" si="24"/>
        <v>1120550.4170599997</v>
      </c>
      <c r="AC50" s="143" t="s">
        <v>445</v>
      </c>
    </row>
    <row r="51" spans="1:29" ht="54">
      <c r="A51" s="170">
        <v>48</v>
      </c>
      <c r="B51" s="168" t="s">
        <v>247</v>
      </c>
      <c r="C51" s="128">
        <v>1.1000000000000001</v>
      </c>
      <c r="D51" s="132" t="s">
        <v>438</v>
      </c>
      <c r="E51" s="132">
        <v>2</v>
      </c>
      <c r="F51" s="132">
        <v>91.591999999999999</v>
      </c>
      <c r="G51" s="129">
        <f t="shared" si="20"/>
        <v>63225.589873571895</v>
      </c>
      <c r="H51" s="129">
        <v>60000</v>
      </c>
      <c r="I51" s="143" t="s">
        <v>439</v>
      </c>
      <c r="J51" s="128" t="s">
        <v>197</v>
      </c>
      <c r="K51" s="177" t="s">
        <v>442</v>
      </c>
      <c r="L51">
        <v>1.3204400000000001</v>
      </c>
      <c r="M51">
        <f>1.32033+C51/10000</f>
        <v>1.3204400000000001</v>
      </c>
      <c r="N51" s="132" t="s">
        <v>440</v>
      </c>
      <c r="O51" s="128">
        <v>1.31657</v>
      </c>
      <c r="P51" s="132" t="s">
        <v>441</v>
      </c>
      <c r="Q51" s="128" t="s">
        <v>205</v>
      </c>
      <c r="R51" s="128" t="s">
        <v>446</v>
      </c>
      <c r="S51">
        <v>1.32189</v>
      </c>
      <c r="T51" s="128" t="s">
        <v>447</v>
      </c>
      <c r="U51" s="143" t="s">
        <v>79</v>
      </c>
      <c r="V51" s="132">
        <v>1</v>
      </c>
      <c r="W51" s="157">
        <f t="shared" si="21"/>
        <v>14.499999999999513</v>
      </c>
      <c r="X51" s="157"/>
      <c r="Y51" s="130">
        <f t="shared" si="22"/>
        <v>7968.5039999997316</v>
      </c>
      <c r="Z51" s="130">
        <v>-600</v>
      </c>
      <c r="AA51" s="130">
        <f t="shared" si="23"/>
        <v>7368.5039999997316</v>
      </c>
      <c r="AB51" s="150">
        <f t="shared" si="24"/>
        <v>1127918.9210599994</v>
      </c>
      <c r="AC51" s="144" t="s">
        <v>448</v>
      </c>
    </row>
    <row r="52" spans="1:29" ht="27">
      <c r="A52" s="170">
        <v>49</v>
      </c>
      <c r="B52" s="168" t="s">
        <v>247</v>
      </c>
      <c r="C52" s="128">
        <v>1.2</v>
      </c>
      <c r="D52" s="132" t="s">
        <v>457</v>
      </c>
      <c r="E52" s="132">
        <v>2</v>
      </c>
      <c r="F52" s="132">
        <v>92.018000000000001</v>
      </c>
      <c r="G52" s="129">
        <f t="shared" si="20"/>
        <v>42561.076556428641</v>
      </c>
      <c r="H52" s="129">
        <v>42000</v>
      </c>
      <c r="I52" s="143" t="s">
        <v>461</v>
      </c>
      <c r="J52" s="128" t="s">
        <v>458</v>
      </c>
      <c r="K52" s="177" t="s">
        <v>460</v>
      </c>
      <c r="L52">
        <v>1.3285400000000001</v>
      </c>
      <c r="M52">
        <f>1.32844+C52/10000</f>
        <v>1.32856</v>
      </c>
      <c r="N52" s="132" t="s">
        <v>459</v>
      </c>
      <c r="O52" s="128">
        <v>1.3228</v>
      </c>
      <c r="P52" s="132" t="s">
        <v>130</v>
      </c>
      <c r="Q52" s="128" t="s">
        <v>462</v>
      </c>
      <c r="R52" s="128" t="s">
        <v>463</v>
      </c>
      <c r="S52">
        <v>1.3271999999999999</v>
      </c>
      <c r="T52" s="128" t="s">
        <v>464</v>
      </c>
      <c r="U52" s="143" t="s">
        <v>79</v>
      </c>
      <c r="V52" s="132">
        <v>-1</v>
      </c>
      <c r="W52" s="157">
        <f t="shared" si="21"/>
        <v>-13.400000000001189</v>
      </c>
      <c r="X52" s="157"/>
      <c r="Y52" s="130">
        <f t="shared" si="22"/>
        <v>-5178.7730400004593</v>
      </c>
      <c r="Z52" s="130">
        <v>-420</v>
      </c>
      <c r="AA52" s="130">
        <f t="shared" si="23"/>
        <v>-5598.7730400004593</v>
      </c>
      <c r="AB52" s="150">
        <f t="shared" si="24"/>
        <v>1122320.148019999</v>
      </c>
      <c r="AC52" s="144" t="s">
        <v>465</v>
      </c>
    </row>
    <row r="53" spans="1:29" ht="54">
      <c r="A53" s="170">
        <v>50</v>
      </c>
      <c r="B53" s="168" t="s">
        <v>476</v>
      </c>
      <c r="C53" s="128">
        <v>1.1000000000000001</v>
      </c>
      <c r="D53" s="132" t="s">
        <v>466</v>
      </c>
      <c r="E53" s="132">
        <v>2</v>
      </c>
      <c r="F53" s="132">
        <v>1</v>
      </c>
      <c r="G53" s="129">
        <f t="shared" si="20"/>
        <v>19350.347379655213</v>
      </c>
      <c r="H53" s="129">
        <v>19000</v>
      </c>
      <c r="I53" s="143" t="s">
        <v>467</v>
      </c>
      <c r="J53" s="128" t="s">
        <v>468</v>
      </c>
      <c r="K53" s="177" t="s">
        <v>469</v>
      </c>
      <c r="L53">
        <v>135.232</v>
      </c>
      <c r="M53">
        <f>135.245-C53/100</f>
        <v>135.23400000000001</v>
      </c>
      <c r="N53" s="132" t="s">
        <v>470</v>
      </c>
      <c r="O53" s="128">
        <v>136.39400000000001</v>
      </c>
      <c r="P53" s="132" t="s">
        <v>130</v>
      </c>
      <c r="Q53" s="128" t="s">
        <v>471</v>
      </c>
      <c r="R53" s="128" t="s">
        <v>472</v>
      </c>
      <c r="S53">
        <v>135.23099999999999</v>
      </c>
      <c r="T53" s="128" t="s">
        <v>473</v>
      </c>
      <c r="U53" s="143" t="s">
        <v>79</v>
      </c>
      <c r="V53" s="132">
        <v>1</v>
      </c>
      <c r="W53" s="157"/>
      <c r="X53" s="157">
        <f t="shared" si="25"/>
        <v>0.10000000000047748</v>
      </c>
      <c r="Y53" s="130">
        <f t="shared" si="22"/>
        <v>19.000000000090722</v>
      </c>
      <c r="Z53" s="130">
        <v>-114</v>
      </c>
      <c r="AA53" s="130">
        <f t="shared" si="23"/>
        <v>-94.999999999909278</v>
      </c>
      <c r="AB53" s="150">
        <f t="shared" si="24"/>
        <v>1122225.148019999</v>
      </c>
      <c r="AC53" s="144" t="s">
        <v>483</v>
      </c>
    </row>
    <row r="54" spans="1:29" ht="40.5">
      <c r="A54" s="170">
        <v>51</v>
      </c>
      <c r="B54" s="178" t="s">
        <v>140</v>
      </c>
      <c r="C54" s="128">
        <v>0.8</v>
      </c>
      <c r="D54" s="132" t="s">
        <v>474</v>
      </c>
      <c r="E54" s="132">
        <v>2</v>
      </c>
      <c r="F54" s="132">
        <v>123.985</v>
      </c>
      <c r="G54" s="129">
        <f t="shared" si="20"/>
        <v>36350.593259678302</v>
      </c>
      <c r="H54" s="129">
        <v>36000</v>
      </c>
      <c r="I54" s="144" t="s">
        <v>478</v>
      </c>
      <c r="J54" s="128" t="s">
        <v>197</v>
      </c>
      <c r="K54" s="177" t="s">
        <v>479</v>
      </c>
      <c r="L54">
        <v>0.96996000000000004</v>
      </c>
      <c r="M54">
        <f>0.96004-C54/10000</f>
        <v>0.95996000000000004</v>
      </c>
      <c r="N54" s="132" t="s">
        <v>480</v>
      </c>
      <c r="O54" s="128">
        <v>0.96494000000000002</v>
      </c>
      <c r="P54" s="132" t="s">
        <v>130</v>
      </c>
      <c r="Q54" s="128" t="s">
        <v>489</v>
      </c>
      <c r="R54" s="128" t="s">
        <v>490</v>
      </c>
      <c r="S54">
        <v>0.96494999999999997</v>
      </c>
      <c r="T54" s="132" t="s">
        <v>130</v>
      </c>
      <c r="U54" s="143" t="s">
        <v>79</v>
      </c>
      <c r="V54" s="132">
        <v>-1</v>
      </c>
      <c r="W54" s="157">
        <f t="shared" si="21"/>
        <v>-50.100000000000698</v>
      </c>
      <c r="X54" s="157"/>
      <c r="Y54" s="130">
        <f t="shared" si="22"/>
        <v>-22361.934600000313</v>
      </c>
      <c r="Z54" s="130">
        <f>-36-187</f>
        <v>-223</v>
      </c>
      <c r="AA54" s="130">
        <f t="shared" si="23"/>
        <v>-22584.934600000313</v>
      </c>
      <c r="AB54" s="150">
        <f t="shared" si="24"/>
        <v>1099640.2134199988</v>
      </c>
      <c r="AC54" s="144" t="s">
        <v>491</v>
      </c>
    </row>
    <row r="55" spans="1:29" ht="54">
      <c r="A55" s="170">
        <v>52</v>
      </c>
      <c r="B55" s="168" t="s">
        <v>477</v>
      </c>
      <c r="C55" s="128">
        <v>1.4</v>
      </c>
      <c r="D55" s="132" t="s">
        <v>475</v>
      </c>
      <c r="E55" s="132">
        <v>2</v>
      </c>
      <c r="F55" s="132">
        <v>125</v>
      </c>
      <c r="G55" s="129">
        <f t="shared" si="20"/>
        <v>52994.709080482033</v>
      </c>
      <c r="H55" s="129">
        <v>54000</v>
      </c>
      <c r="I55" s="144" t="s">
        <v>481</v>
      </c>
      <c r="J55" s="128" t="s">
        <v>197</v>
      </c>
      <c r="K55" s="161" t="s">
        <v>495</v>
      </c>
      <c r="M55">
        <f>1.08288-C55/10000</f>
        <v>1.08274</v>
      </c>
      <c r="N55" s="132" t="s">
        <v>482</v>
      </c>
      <c r="O55" s="128">
        <v>1.08606</v>
      </c>
      <c r="P55" s="132" t="s">
        <v>130</v>
      </c>
      <c r="Q55" s="128"/>
      <c r="R55" s="128"/>
      <c r="T55" s="132" t="s">
        <v>496</v>
      </c>
      <c r="U55" s="143" t="s">
        <v>79</v>
      </c>
      <c r="V55" s="132">
        <v>0</v>
      </c>
      <c r="W55" s="157">
        <f t="shared" si="21"/>
        <v>0</v>
      </c>
      <c r="X55" s="157">
        <f t="shared" si="25"/>
        <v>0</v>
      </c>
      <c r="Y55" s="130">
        <f t="shared" si="22"/>
        <v>0</v>
      </c>
      <c r="Z55" s="130"/>
      <c r="AA55" s="130">
        <f t="shared" si="23"/>
        <v>0</v>
      </c>
      <c r="AB55" s="150">
        <f t="shared" si="24"/>
        <v>1099640.2134199988</v>
      </c>
      <c r="AC55" s="144" t="s">
        <v>497</v>
      </c>
    </row>
    <row r="56" spans="1:29" ht="40.5">
      <c r="A56" s="170">
        <f>A55+1</f>
        <v>53</v>
      </c>
      <c r="B56" s="168" t="s">
        <v>486</v>
      </c>
      <c r="C56" s="128">
        <v>0</v>
      </c>
      <c r="D56" s="132" t="s">
        <v>61</v>
      </c>
      <c r="E56" s="132">
        <v>2</v>
      </c>
      <c r="F56" s="132">
        <v>119.77500000000001</v>
      </c>
      <c r="G56" s="129">
        <f t="shared" si="20"/>
        <v>59423.188349783966</v>
      </c>
      <c r="H56" s="129">
        <v>60000</v>
      </c>
      <c r="I56" s="144" t="s">
        <v>487</v>
      </c>
      <c r="J56" s="128" t="s">
        <v>215</v>
      </c>
      <c r="K56" s="177" t="s">
        <v>488</v>
      </c>
      <c r="L56">
        <v>1.12595</v>
      </c>
      <c r="M56">
        <v>1.12595</v>
      </c>
      <c r="N56" s="132" t="s">
        <v>484</v>
      </c>
      <c r="O56" s="128">
        <v>1.12904</v>
      </c>
      <c r="P56" s="132" t="s">
        <v>485</v>
      </c>
      <c r="Q56" s="128" t="s">
        <v>493</v>
      </c>
      <c r="R56" s="128" t="s">
        <v>492</v>
      </c>
      <c r="S56" s="128">
        <v>1.12904</v>
      </c>
      <c r="T56" s="132" t="s">
        <v>485</v>
      </c>
      <c r="U56" s="143" t="s">
        <v>79</v>
      </c>
      <c r="V56" s="132">
        <v>-1</v>
      </c>
      <c r="W56" s="157">
        <f t="shared" si="21"/>
        <v>-30.900000000000372</v>
      </c>
      <c r="X56" s="157"/>
      <c r="Y56" s="130">
        <f t="shared" si="22"/>
        <v>-22206.285000000269</v>
      </c>
      <c r="Z56" s="130">
        <v>-360</v>
      </c>
      <c r="AA56" s="130">
        <f t="shared" si="23"/>
        <v>-22566.285000000269</v>
      </c>
      <c r="AB56" s="150">
        <f t="shared" si="24"/>
        <v>1077073.9284199984</v>
      </c>
      <c r="AC56" s="144" t="s">
        <v>494</v>
      </c>
    </row>
    <row r="57" spans="1:29" ht="40.5">
      <c r="A57" s="170">
        <f t="shared" ref="A57:A60" si="31">A56+1</f>
        <v>54</v>
      </c>
      <c r="B57" s="168" t="s">
        <v>150</v>
      </c>
      <c r="C57" s="128">
        <v>0</v>
      </c>
      <c r="D57" s="132" t="s">
        <v>499</v>
      </c>
      <c r="E57" s="132">
        <v>2</v>
      </c>
      <c r="F57" s="132">
        <v>92</v>
      </c>
      <c r="G57" s="129">
        <f t="shared" si="20"/>
        <v>11224.664725707546</v>
      </c>
      <c r="H57" s="129">
        <v>11000</v>
      </c>
      <c r="I57" s="143" t="s">
        <v>502</v>
      </c>
      <c r="J57" s="128" t="s">
        <v>498</v>
      </c>
      <c r="K57" s="161" t="s">
        <v>503</v>
      </c>
      <c r="M57">
        <v>1.31145</v>
      </c>
      <c r="N57" s="132" t="s">
        <v>500</v>
      </c>
      <c r="O57" s="128">
        <v>1.3323100000000001</v>
      </c>
      <c r="P57" s="132" t="s">
        <v>501</v>
      </c>
      <c r="Q57" s="128"/>
      <c r="R57" s="128"/>
      <c r="T57" s="132" t="s">
        <v>300</v>
      </c>
      <c r="U57" s="143" t="s">
        <v>79</v>
      </c>
      <c r="V57" s="132">
        <v>0</v>
      </c>
      <c r="W57" s="157">
        <f t="shared" si="21"/>
        <v>0</v>
      </c>
      <c r="X57" s="157">
        <f t="shared" si="25"/>
        <v>0</v>
      </c>
      <c r="Y57" s="130">
        <f t="shared" si="22"/>
        <v>0</v>
      </c>
      <c r="Z57" s="130"/>
      <c r="AA57" s="130">
        <f t="shared" si="23"/>
        <v>0</v>
      </c>
      <c r="AB57" s="150">
        <f t="shared" si="24"/>
        <v>1077073.9284199984</v>
      </c>
      <c r="AC57" s="143"/>
    </row>
    <row r="58" spans="1:29" ht="40.5">
      <c r="A58" s="170">
        <f t="shared" si="31"/>
        <v>55</v>
      </c>
      <c r="B58" s="168" t="s">
        <v>150</v>
      </c>
      <c r="C58" s="128">
        <v>2</v>
      </c>
      <c r="D58" s="132" t="s">
        <v>504</v>
      </c>
      <c r="E58" s="132">
        <v>2</v>
      </c>
      <c r="F58" s="132">
        <v>92</v>
      </c>
      <c r="G58" s="129">
        <f t="shared" si="20"/>
        <v>9805.1300744665623</v>
      </c>
      <c r="H58" s="129">
        <v>10000</v>
      </c>
      <c r="I58" s="143" t="s">
        <v>507</v>
      </c>
      <c r="J58" s="128" t="s">
        <v>142</v>
      </c>
      <c r="K58" t="s">
        <v>544</v>
      </c>
      <c r="M58">
        <f>1.33523+C58/10000</f>
        <v>1.3354299999999999</v>
      </c>
      <c r="N58" s="132" t="s">
        <v>505</v>
      </c>
      <c r="O58" s="128">
        <v>1.31155</v>
      </c>
      <c r="P58" s="132" t="s">
        <v>506</v>
      </c>
      <c r="Q58" s="128"/>
      <c r="R58" s="128"/>
      <c r="T58" t="s">
        <v>544</v>
      </c>
      <c r="U58" s="143" t="s">
        <v>79</v>
      </c>
      <c r="V58" s="132">
        <v>0</v>
      </c>
      <c r="W58" s="157">
        <f t="shared" ref="W58" si="32">ABS(S58-L58)*10000*V58</f>
        <v>0</v>
      </c>
      <c r="X58" s="157">
        <f t="shared" ref="X58" si="33">ABS(L58-S58)*100*V58</f>
        <v>0</v>
      </c>
      <c r="Y58" s="130">
        <f t="shared" ref="Y58" si="34">ABS(L58-S58)*H58*V58*F58</f>
        <v>0</v>
      </c>
      <c r="Z58" s="130"/>
      <c r="AA58" s="130">
        <f t="shared" ref="AA58" si="35">Y58+Z58</f>
        <v>0</v>
      </c>
      <c r="AB58" s="150">
        <f t="shared" ref="AB58" si="36">AB57+AA58</f>
        <v>1077073.9284199984</v>
      </c>
      <c r="AC58" s="143"/>
    </row>
    <row r="59" spans="1:29" ht="40.5">
      <c r="A59" s="170">
        <f t="shared" si="31"/>
        <v>56</v>
      </c>
      <c r="B59" s="168" t="s">
        <v>222</v>
      </c>
      <c r="C59" s="128">
        <v>4</v>
      </c>
      <c r="D59" s="132" t="s">
        <v>508</v>
      </c>
      <c r="E59" s="132">
        <v>2</v>
      </c>
      <c r="F59" s="132">
        <v>120</v>
      </c>
      <c r="G59" s="129">
        <f t="shared" si="20"/>
        <v>17194.666801085536</v>
      </c>
      <c r="H59" s="129">
        <v>17000</v>
      </c>
      <c r="I59" s="143" t="s">
        <v>512</v>
      </c>
      <c r="J59" s="128" t="s">
        <v>509</v>
      </c>
      <c r="K59" s="161" t="s">
        <v>517</v>
      </c>
      <c r="M59">
        <f>1.10862-C59/10000</f>
        <v>1.10822</v>
      </c>
      <c r="N59" s="132" t="s">
        <v>510</v>
      </c>
      <c r="O59" s="128">
        <v>1.11866</v>
      </c>
      <c r="P59" s="132" t="s">
        <v>511</v>
      </c>
      <c r="Q59" s="128"/>
      <c r="R59" s="128"/>
      <c r="T59" s="132" t="s">
        <v>300</v>
      </c>
      <c r="U59" s="143" t="s">
        <v>79</v>
      </c>
      <c r="V59" s="132">
        <v>0</v>
      </c>
      <c r="W59" s="157">
        <f t="shared" si="21"/>
        <v>0</v>
      </c>
      <c r="X59" s="157">
        <f t="shared" si="25"/>
        <v>0</v>
      </c>
      <c r="Y59" s="130">
        <f t="shared" si="22"/>
        <v>0</v>
      </c>
      <c r="Z59" s="130"/>
      <c r="AA59" s="130">
        <f t="shared" si="23"/>
        <v>0</v>
      </c>
      <c r="AB59" s="150">
        <f t="shared" si="24"/>
        <v>1077073.9284199984</v>
      </c>
      <c r="AC59" s="143"/>
    </row>
    <row r="60" spans="1:29" ht="108">
      <c r="A60" s="170">
        <f t="shared" si="31"/>
        <v>57</v>
      </c>
      <c r="B60" s="168" t="s">
        <v>140</v>
      </c>
      <c r="C60" s="128">
        <v>1.1000000000000001</v>
      </c>
      <c r="D60" s="132" t="s">
        <v>513</v>
      </c>
      <c r="E60" s="132">
        <v>2</v>
      </c>
      <c r="F60" s="132">
        <v>122.5</v>
      </c>
      <c r="G60" s="129">
        <f t="shared" si="20"/>
        <v>27605.777808477254</v>
      </c>
      <c r="H60" s="129">
        <v>27000</v>
      </c>
      <c r="I60" s="143" t="s">
        <v>514</v>
      </c>
      <c r="J60" s="128" t="s">
        <v>197</v>
      </c>
      <c r="K60" s="161" t="s">
        <v>518</v>
      </c>
      <c r="L60">
        <v>0.97699999999999998</v>
      </c>
      <c r="M60">
        <f>0.97688+C60/10000</f>
        <v>0.97699000000000003</v>
      </c>
      <c r="N60" s="132" t="s">
        <v>515</v>
      </c>
      <c r="O60" s="128">
        <v>0.97062000000000004</v>
      </c>
      <c r="P60" s="132" t="s">
        <v>516</v>
      </c>
      <c r="Q60" s="128" t="s">
        <v>519</v>
      </c>
      <c r="R60" s="128" t="s">
        <v>520</v>
      </c>
      <c r="S60">
        <v>0.97814000000000001</v>
      </c>
      <c r="T60" s="161" t="s">
        <v>521</v>
      </c>
      <c r="U60" s="143" t="s">
        <v>79</v>
      </c>
      <c r="V60" s="132">
        <v>1</v>
      </c>
      <c r="W60" s="157">
        <f t="shared" si="21"/>
        <v>11.400000000000299</v>
      </c>
      <c r="X60" s="157"/>
      <c r="Y60" s="130">
        <f t="shared" si="22"/>
        <v>3770.5500000000989</v>
      </c>
      <c r="Z60" s="130">
        <f>-270+62</f>
        <v>-208</v>
      </c>
      <c r="AA60" s="130">
        <f t="shared" si="23"/>
        <v>3562.5500000000989</v>
      </c>
      <c r="AB60" s="150">
        <f t="shared" si="24"/>
        <v>1080636.4784199984</v>
      </c>
      <c r="AC60" s="143"/>
    </row>
    <row r="61" spans="1:29" ht="108">
      <c r="A61" s="170">
        <v>58</v>
      </c>
      <c r="B61" s="168" t="s">
        <v>168</v>
      </c>
      <c r="C61" s="128">
        <v>1.9</v>
      </c>
      <c r="D61" s="132" t="s">
        <v>522</v>
      </c>
      <c r="E61" s="132">
        <v>2</v>
      </c>
      <c r="F61" s="132">
        <v>1</v>
      </c>
      <c r="G61" s="129">
        <f t="shared" si="20"/>
        <v>62284.523251876701</v>
      </c>
      <c r="H61" s="129">
        <v>62000</v>
      </c>
      <c r="I61" s="144" t="s">
        <v>524</v>
      </c>
      <c r="J61" s="128" t="s">
        <v>197</v>
      </c>
      <c r="K61" s="161" t="s">
        <v>525</v>
      </c>
      <c r="L61">
        <v>135.155</v>
      </c>
      <c r="M61">
        <f>135.134+C61/100</f>
        <v>135.15299999999999</v>
      </c>
      <c r="N61" s="132" t="s">
        <v>523</v>
      </c>
      <c r="O61" s="128">
        <v>134.80600000000001</v>
      </c>
      <c r="P61" s="132" t="s">
        <v>130</v>
      </c>
      <c r="Q61" s="128" t="s">
        <v>527</v>
      </c>
      <c r="R61" s="128" t="s">
        <v>526</v>
      </c>
      <c r="S61">
        <v>135.523</v>
      </c>
      <c r="T61" s="161" t="s">
        <v>521</v>
      </c>
      <c r="U61" s="143" t="s">
        <v>79</v>
      </c>
      <c r="V61" s="132">
        <v>1</v>
      </c>
      <c r="W61" s="157"/>
      <c r="X61" s="157">
        <f t="shared" si="25"/>
        <v>36.7999999999995</v>
      </c>
      <c r="Y61" s="130">
        <f t="shared" si="22"/>
        <v>22815.999999999691</v>
      </c>
      <c r="Z61" s="130">
        <v>-372</v>
      </c>
      <c r="AA61" s="130">
        <f t="shared" si="23"/>
        <v>22443.999999999691</v>
      </c>
      <c r="AB61" s="150">
        <f t="shared" si="24"/>
        <v>1103080.4784199982</v>
      </c>
      <c r="AC61" s="143"/>
    </row>
    <row r="62" spans="1:29" ht="27">
      <c r="A62" s="170">
        <v>59</v>
      </c>
      <c r="B62" s="168" t="s">
        <v>528</v>
      </c>
      <c r="C62" s="128">
        <v>0.5</v>
      </c>
      <c r="D62" s="132" t="s">
        <v>529</v>
      </c>
      <c r="E62" s="132">
        <v>2</v>
      </c>
      <c r="F62" s="132">
        <v>120.7</v>
      </c>
      <c r="G62" s="129">
        <f t="shared" ref="G62:G81" si="37">(AB61*E62/100)/(ABS(M62-O62)*F62)</f>
        <v>38724.687852638723</v>
      </c>
      <c r="H62" s="129">
        <v>38000</v>
      </c>
      <c r="I62" s="144" t="s">
        <v>530</v>
      </c>
      <c r="J62" s="128" t="s">
        <v>197</v>
      </c>
      <c r="K62" s="161" t="s">
        <v>537</v>
      </c>
      <c r="L62">
        <v>1.1217700000000002</v>
      </c>
      <c r="M62">
        <f>1.12172+C62/10000</f>
        <v>1.1217700000000002</v>
      </c>
      <c r="N62" s="132" t="s">
        <v>545</v>
      </c>
      <c r="O62" s="128">
        <v>1.1170500000000001</v>
      </c>
      <c r="P62" s="132" t="s">
        <v>130</v>
      </c>
      <c r="Q62" s="128" t="s">
        <v>205</v>
      </c>
      <c r="R62" s="128" t="s">
        <v>543</v>
      </c>
      <c r="S62">
        <v>1.1280600000000001</v>
      </c>
      <c r="T62" s="132" t="s">
        <v>542</v>
      </c>
      <c r="U62" s="143" t="s">
        <v>79</v>
      </c>
      <c r="V62" s="132">
        <v>1</v>
      </c>
      <c r="W62" s="157">
        <f t="shared" ref="W62:W81" si="38">ABS(S62-L62)*10000*V62</f>
        <v>62.899999999999068</v>
      </c>
      <c r="X62" s="157"/>
      <c r="Y62" s="130">
        <f t="shared" ref="Y62:Y81" si="39">ABS(L62-S62)*H62*V62*F62</f>
        <v>28849.713999999574</v>
      </c>
      <c r="Z62" s="130">
        <f>-228-91</f>
        <v>-319</v>
      </c>
      <c r="AA62" s="130">
        <f t="shared" ref="AA62:AA81" si="40">Y62+Z62</f>
        <v>28530.713999999574</v>
      </c>
      <c r="AB62" s="150">
        <f t="shared" ref="AB62:AB81" si="41">AB61+AA62</f>
        <v>1131611.1924199979</v>
      </c>
      <c r="AC62" s="143"/>
    </row>
    <row r="63" spans="1:29" ht="81">
      <c r="A63" s="170">
        <v>60</v>
      </c>
      <c r="B63" s="168" t="s">
        <v>535</v>
      </c>
      <c r="C63" s="128">
        <v>1.5</v>
      </c>
      <c r="D63" s="132" t="s">
        <v>531</v>
      </c>
      <c r="E63" s="132">
        <v>2</v>
      </c>
      <c r="F63" s="132">
        <v>1</v>
      </c>
      <c r="G63" s="129">
        <f t="shared" si="37"/>
        <v>108808.76850192371</v>
      </c>
      <c r="H63" s="129">
        <v>106000</v>
      </c>
      <c r="I63" s="143" t="s">
        <v>536</v>
      </c>
      <c r="J63" s="128" t="s">
        <v>532</v>
      </c>
      <c r="K63" s="161" t="s">
        <v>538</v>
      </c>
      <c r="L63">
        <v>120.70699999999999</v>
      </c>
      <c r="M63">
        <f>120.696+C63/100</f>
        <v>120.711</v>
      </c>
      <c r="N63" s="132" t="s">
        <v>533</v>
      </c>
      <c r="O63" s="128">
        <v>120.503</v>
      </c>
      <c r="P63" s="132" t="s">
        <v>534</v>
      </c>
      <c r="Q63" s="128" t="s">
        <v>539</v>
      </c>
      <c r="R63" s="128" t="s">
        <v>540</v>
      </c>
      <c r="S63">
        <v>120.80200000000001</v>
      </c>
      <c r="T63" s="144" t="s">
        <v>541</v>
      </c>
      <c r="U63" s="143" t="s">
        <v>79</v>
      </c>
      <c r="V63" s="132">
        <v>1</v>
      </c>
      <c r="W63" s="157"/>
      <c r="X63" s="157">
        <f t="shared" ref="X63:X81" si="42">ABS(L63-S63)*100*V63</f>
        <v>9.5000000000013074</v>
      </c>
      <c r="Y63" s="130">
        <f t="shared" si="39"/>
        <v>10070.000000001386</v>
      </c>
      <c r="Z63" s="130">
        <v>-424</v>
      </c>
      <c r="AA63" s="130">
        <f t="shared" si="40"/>
        <v>9646.0000000013861</v>
      </c>
      <c r="AB63" s="150">
        <f t="shared" si="41"/>
        <v>1141257.1924199993</v>
      </c>
      <c r="AC63" s="143"/>
    </row>
    <row r="64" spans="1:29" ht="67.5">
      <c r="A64" s="170">
        <v>61</v>
      </c>
      <c r="B64" s="168" t="s">
        <v>546</v>
      </c>
      <c r="C64" s="128">
        <v>0.8</v>
      </c>
      <c r="D64" s="132" t="s">
        <v>547</v>
      </c>
      <c r="E64" s="132">
        <v>2</v>
      </c>
      <c r="F64" s="132">
        <v>124</v>
      </c>
      <c r="G64" s="129">
        <f t="shared" si="37"/>
        <v>43007.883344136739</v>
      </c>
      <c r="H64" s="129">
        <v>43000</v>
      </c>
      <c r="I64" s="143" t="s">
        <v>548</v>
      </c>
      <c r="J64" s="128" t="s">
        <v>197</v>
      </c>
      <c r="K64" s="161" t="s">
        <v>549</v>
      </c>
      <c r="L64">
        <v>0.97094999999999998</v>
      </c>
      <c r="M64">
        <f>0.97085+C64/10000</f>
        <v>0.97092999999999996</v>
      </c>
      <c r="N64" s="132" t="s">
        <v>550</v>
      </c>
      <c r="O64" s="128">
        <v>0.96665000000000001</v>
      </c>
      <c r="P64" s="132" t="s">
        <v>130</v>
      </c>
      <c r="Q64" s="128" t="s">
        <v>563</v>
      </c>
      <c r="R64" s="128" t="s">
        <v>562</v>
      </c>
      <c r="S64">
        <v>0.97104000000000001</v>
      </c>
      <c r="T64" s="144" t="s">
        <v>566</v>
      </c>
      <c r="U64" s="143" t="s">
        <v>79</v>
      </c>
      <c r="V64" s="132">
        <v>1</v>
      </c>
      <c r="W64" s="157">
        <f t="shared" si="38"/>
        <v>0.90000000000034497</v>
      </c>
      <c r="X64" s="157"/>
      <c r="Y64" s="130">
        <f t="shared" si="39"/>
        <v>479.88000000018394</v>
      </c>
      <c r="Z64" s="130">
        <f>-430+198</f>
        <v>-232</v>
      </c>
      <c r="AA64" s="130">
        <f t="shared" si="40"/>
        <v>247.88000000018394</v>
      </c>
      <c r="AB64" s="150">
        <f t="shared" si="41"/>
        <v>1141505.0724199994</v>
      </c>
      <c r="AC64" s="143"/>
    </row>
    <row r="65" spans="1:29" ht="81">
      <c r="A65" s="170">
        <v>62</v>
      </c>
      <c r="B65" s="168" t="s">
        <v>552</v>
      </c>
      <c r="C65" s="128">
        <v>1.5</v>
      </c>
      <c r="D65" s="132" t="s">
        <v>551</v>
      </c>
      <c r="E65" s="132">
        <v>2</v>
      </c>
      <c r="F65" s="132">
        <v>1</v>
      </c>
      <c r="G65" s="129">
        <f t="shared" si="37"/>
        <v>106186.51836466347</v>
      </c>
      <c r="H65" s="129">
        <v>106000</v>
      </c>
      <c r="I65" s="144" t="s">
        <v>554</v>
      </c>
      <c r="J65" s="128" t="s">
        <v>205</v>
      </c>
      <c r="K65" s="161" t="s">
        <v>555</v>
      </c>
      <c r="L65">
        <v>135.59100000000001</v>
      </c>
      <c r="M65">
        <f>135.607-C65/100</f>
        <v>135.59200000000001</v>
      </c>
      <c r="N65" s="132" t="s">
        <v>553</v>
      </c>
      <c r="O65" s="128">
        <v>135.80699999999999</v>
      </c>
      <c r="P65" s="132" t="s">
        <v>130</v>
      </c>
      <c r="Q65" s="128" t="s">
        <v>205</v>
      </c>
      <c r="R65" s="128" t="s">
        <v>556</v>
      </c>
      <c r="S65">
        <v>135.80799999999999</v>
      </c>
      <c r="T65" s="161" t="s">
        <v>561</v>
      </c>
      <c r="U65" s="143" t="s">
        <v>79</v>
      </c>
      <c r="V65" s="132">
        <v>-1</v>
      </c>
      <c r="W65" s="157"/>
      <c r="X65" s="157">
        <f t="shared" si="42"/>
        <v>-21.699999999998454</v>
      </c>
      <c r="Y65" s="130">
        <f t="shared" si="39"/>
        <v>-23001.999999998363</v>
      </c>
      <c r="Z65" s="130">
        <v>-636</v>
      </c>
      <c r="AA65" s="130">
        <f t="shared" si="40"/>
        <v>-23637.999999998363</v>
      </c>
      <c r="AB65" s="150">
        <f t="shared" si="41"/>
        <v>1117867.072420001</v>
      </c>
      <c r="AC65" s="143"/>
    </row>
    <row r="66" spans="1:29" ht="67.5">
      <c r="A66" s="170">
        <v>63</v>
      </c>
      <c r="B66" s="168" t="s">
        <v>565</v>
      </c>
      <c r="C66" s="128">
        <v>1</v>
      </c>
      <c r="D66" s="132" t="s">
        <v>557</v>
      </c>
      <c r="E66" s="132">
        <v>2</v>
      </c>
      <c r="F66" s="132">
        <v>1</v>
      </c>
      <c r="G66" s="129">
        <f t="shared" si="37"/>
        <v>79281.352653905764</v>
      </c>
      <c r="H66" s="129">
        <v>79000</v>
      </c>
      <c r="I66" s="143" t="s">
        <v>558</v>
      </c>
      <c r="J66" s="128" t="s">
        <v>205</v>
      </c>
      <c r="K66" s="161" t="s">
        <v>560</v>
      </c>
      <c r="L66">
        <v>135.476</v>
      </c>
      <c r="M66">
        <f>135.487-C66/100</f>
        <v>135.477</v>
      </c>
      <c r="N66" s="132" t="s">
        <v>559</v>
      </c>
      <c r="O66" s="128">
        <v>135.75899999999999</v>
      </c>
      <c r="P66" s="132" t="s">
        <v>130</v>
      </c>
      <c r="Q66" s="128" t="s">
        <v>205</v>
      </c>
      <c r="R66" s="128" t="s">
        <v>564</v>
      </c>
      <c r="S66">
        <v>135.66399999999999</v>
      </c>
      <c r="T66" s="161" t="s">
        <v>567</v>
      </c>
      <c r="U66" s="143" t="s">
        <v>79</v>
      </c>
      <c r="V66" s="132">
        <v>-1</v>
      </c>
      <c r="W66" s="157"/>
      <c r="X66" s="157">
        <f t="shared" si="42"/>
        <v>-18.799999999998818</v>
      </c>
      <c r="Y66" s="130">
        <f t="shared" si="39"/>
        <v>-14851.999999999065</v>
      </c>
      <c r="Z66" s="130">
        <v>-474</v>
      </c>
      <c r="AA66" s="130">
        <f t="shared" si="40"/>
        <v>-15325.999999999065</v>
      </c>
      <c r="AB66" s="150">
        <f t="shared" si="41"/>
        <v>1102541.072420002</v>
      </c>
      <c r="AC66" s="143"/>
    </row>
    <row r="67" spans="1:29" ht="67.5">
      <c r="A67" s="170">
        <v>64</v>
      </c>
      <c r="B67" s="168" t="s">
        <v>222</v>
      </c>
      <c r="C67" s="128">
        <v>0.5</v>
      </c>
      <c r="D67" s="132" t="s">
        <v>568</v>
      </c>
      <c r="E67" s="132">
        <v>2</v>
      </c>
      <c r="F67" s="132">
        <v>119.74</v>
      </c>
      <c r="G67" s="129">
        <f t="shared" si="37"/>
        <v>34166.205889507684</v>
      </c>
      <c r="H67" s="129">
        <v>33000</v>
      </c>
      <c r="I67" s="143" t="s">
        <v>569</v>
      </c>
      <c r="J67" s="128" t="s">
        <v>197</v>
      </c>
      <c r="K67" s="161" t="s">
        <v>574</v>
      </c>
      <c r="L67">
        <v>1.1337200000000001</v>
      </c>
      <c r="M67">
        <f>1.13367+C67/10000</f>
        <v>1.1337200000000001</v>
      </c>
      <c r="N67" s="132" t="s">
        <v>570</v>
      </c>
      <c r="O67" s="128">
        <v>1.1283300000000001</v>
      </c>
      <c r="P67" s="132" t="s">
        <v>130</v>
      </c>
      <c r="Q67" s="128" t="s">
        <v>197</v>
      </c>
      <c r="R67" s="128" t="s">
        <v>577</v>
      </c>
      <c r="S67">
        <v>1.1393899999999999</v>
      </c>
      <c r="T67" s="128"/>
      <c r="U67" s="143" t="s">
        <v>79</v>
      </c>
      <c r="V67" s="132">
        <v>1</v>
      </c>
      <c r="W67" s="157">
        <f t="shared" si="38"/>
        <v>56.699999999998418</v>
      </c>
      <c r="X67" s="157"/>
      <c r="Y67" s="130">
        <f t="shared" si="39"/>
        <v>22404.551399999375</v>
      </c>
      <c r="Z67" s="130">
        <f>-198-79</f>
        <v>-277</v>
      </c>
      <c r="AA67" s="130">
        <f t="shared" si="40"/>
        <v>22127.551399999375</v>
      </c>
      <c r="AB67" s="150">
        <f t="shared" si="41"/>
        <v>1124668.6238200013</v>
      </c>
      <c r="AC67" s="143"/>
    </row>
    <row r="68" spans="1:29" ht="54">
      <c r="A68" s="170">
        <v>65</v>
      </c>
      <c r="B68" s="168" t="s">
        <v>140</v>
      </c>
      <c r="C68" s="128">
        <v>0.8</v>
      </c>
      <c r="D68" s="132" t="s">
        <v>571</v>
      </c>
      <c r="E68" s="132">
        <v>2</v>
      </c>
      <c r="F68" s="132">
        <v>124.735</v>
      </c>
      <c r="G68" s="129">
        <f t="shared" si="37"/>
        <v>57429.706331309244</v>
      </c>
      <c r="H68" s="129">
        <v>56000</v>
      </c>
      <c r="I68" s="143" t="s">
        <v>576</v>
      </c>
      <c r="J68" s="128" t="s">
        <v>197</v>
      </c>
      <c r="K68" s="161" t="s">
        <v>575</v>
      </c>
      <c r="L68">
        <v>0.96653</v>
      </c>
      <c r="M68">
        <f>0.96665-C68/10000</f>
        <v>0.96657000000000004</v>
      </c>
      <c r="N68" s="132" t="s">
        <v>572</v>
      </c>
      <c r="O68" s="128">
        <v>0.96970999999999996</v>
      </c>
      <c r="P68" s="132" t="s">
        <v>573</v>
      </c>
      <c r="Q68" s="128" t="s">
        <v>197</v>
      </c>
      <c r="R68" s="128" t="s">
        <v>578</v>
      </c>
      <c r="S68">
        <v>0.96065</v>
      </c>
      <c r="T68" s="128"/>
      <c r="U68" s="143" t="s">
        <v>79</v>
      </c>
      <c r="V68" s="132">
        <v>1</v>
      </c>
      <c r="W68" s="157">
        <f t="shared" si="38"/>
        <v>58.799999999999962</v>
      </c>
      <c r="X68" s="157"/>
      <c r="Y68" s="130">
        <f t="shared" si="39"/>
        <v>41072.740799999978</v>
      </c>
      <c r="Z68" s="130">
        <f>-560-291</f>
        <v>-851</v>
      </c>
      <c r="AA68" s="130">
        <f t="shared" si="40"/>
        <v>40221.740799999978</v>
      </c>
      <c r="AB68" s="150">
        <f t="shared" si="41"/>
        <v>1164890.3646200013</v>
      </c>
      <c r="AC68" s="143"/>
    </row>
    <row r="69" spans="1:29" ht="40.5">
      <c r="A69" s="170">
        <v>66</v>
      </c>
      <c r="B69" s="168" t="s">
        <v>592</v>
      </c>
      <c r="C69" s="128">
        <v>5</v>
      </c>
      <c r="D69" s="132" t="s">
        <v>586</v>
      </c>
      <c r="E69" s="132">
        <v>2</v>
      </c>
      <c r="F69" s="132">
        <v>1</v>
      </c>
      <c r="G69" s="129">
        <f t="shared" si="37"/>
        <v>62967.046736210679</v>
      </c>
      <c r="H69" s="129">
        <v>62000</v>
      </c>
      <c r="I69" s="143" t="s">
        <v>589</v>
      </c>
      <c r="J69" s="128" t="s">
        <v>587</v>
      </c>
      <c r="K69" s="161" t="s">
        <v>590</v>
      </c>
      <c r="L69">
        <v>186.10199999999998</v>
      </c>
      <c r="M69">
        <f>186.152-C69/100</f>
        <v>186.10199999999998</v>
      </c>
      <c r="N69" s="132" t="s">
        <v>588</v>
      </c>
      <c r="O69" s="128">
        <v>186.47200000000001</v>
      </c>
      <c r="P69" s="132" t="s">
        <v>130</v>
      </c>
      <c r="Q69" s="128" t="s">
        <v>205</v>
      </c>
      <c r="R69" s="128" t="s">
        <v>591</v>
      </c>
      <c r="S69" s="128">
        <v>186.47300000000001</v>
      </c>
      <c r="T69" s="132" t="s">
        <v>130</v>
      </c>
      <c r="U69" s="143" t="s">
        <v>79</v>
      </c>
      <c r="V69" s="132">
        <v>-1</v>
      </c>
      <c r="W69" s="157"/>
      <c r="X69" s="157">
        <f t="shared" si="42"/>
        <v>-37.100000000003774</v>
      </c>
      <c r="Y69" s="130">
        <f t="shared" si="39"/>
        <v>-23002.000000002339</v>
      </c>
      <c r="Z69" s="130">
        <v>-37.200000000000003</v>
      </c>
      <c r="AA69" s="130">
        <f t="shared" si="40"/>
        <v>-23039.20000000234</v>
      </c>
      <c r="AB69" s="150">
        <f t="shared" si="41"/>
        <v>1141851.164619999</v>
      </c>
      <c r="AC69" s="143"/>
    </row>
    <row r="70" spans="1:29" ht="94.5">
      <c r="A70" s="170">
        <v>67</v>
      </c>
      <c r="B70" s="168" t="s">
        <v>168</v>
      </c>
      <c r="C70" s="128">
        <v>1.6</v>
      </c>
      <c r="D70" s="132" t="s">
        <v>593</v>
      </c>
      <c r="E70" s="132">
        <v>2</v>
      </c>
      <c r="F70" s="132">
        <v>1</v>
      </c>
      <c r="G70" s="129">
        <f t="shared" si="37"/>
        <v>93594.357755737714</v>
      </c>
      <c r="H70" s="129">
        <v>93000</v>
      </c>
      <c r="I70" s="143" t="s">
        <v>596</v>
      </c>
      <c r="J70" s="128" t="s">
        <v>205</v>
      </c>
      <c r="K70" s="161" t="s">
        <v>597</v>
      </c>
      <c r="L70">
        <v>134.739</v>
      </c>
      <c r="M70">
        <f>134.756-C70/100</f>
        <v>134.74</v>
      </c>
      <c r="N70" s="132" t="s">
        <v>594</v>
      </c>
      <c r="O70" s="128">
        <v>134.98400000000001</v>
      </c>
      <c r="P70" s="132" t="s">
        <v>595</v>
      </c>
      <c r="Q70" s="128" t="s">
        <v>205</v>
      </c>
      <c r="R70" s="128" t="s">
        <v>604</v>
      </c>
      <c r="S70" s="128">
        <v>133.679</v>
      </c>
      <c r="T70" s="132" t="s">
        <v>605</v>
      </c>
      <c r="U70" s="143" t="s">
        <v>79</v>
      </c>
      <c r="V70" s="132">
        <v>1</v>
      </c>
      <c r="W70" s="157"/>
      <c r="X70" s="157">
        <f t="shared" si="42"/>
        <v>106.00000000000023</v>
      </c>
      <c r="Y70" s="130">
        <f t="shared" si="39"/>
        <v>98580.000000000218</v>
      </c>
      <c r="Z70" s="130">
        <v>-558</v>
      </c>
      <c r="AA70" s="130">
        <f t="shared" si="40"/>
        <v>98022.000000000218</v>
      </c>
      <c r="AB70" s="150">
        <f t="shared" si="41"/>
        <v>1239873.1646199992</v>
      </c>
      <c r="AC70" s="143"/>
    </row>
    <row r="71" spans="1:29" ht="81">
      <c r="A71" s="170">
        <v>68</v>
      </c>
      <c r="B71" s="168" t="s">
        <v>156</v>
      </c>
      <c r="C71" s="128">
        <v>0.7</v>
      </c>
      <c r="D71" s="132" t="s">
        <v>600</v>
      </c>
      <c r="E71" s="132">
        <v>2</v>
      </c>
      <c r="F71" s="132">
        <v>1</v>
      </c>
      <c r="G71" s="129">
        <f t="shared" si="37"/>
        <v>54380.401957017144</v>
      </c>
      <c r="H71" s="129">
        <v>50000</v>
      </c>
      <c r="I71" s="143" t="s">
        <v>603</v>
      </c>
      <c r="J71" s="128" t="s">
        <v>197</v>
      </c>
      <c r="K71" s="161" t="s">
        <v>602</v>
      </c>
      <c r="L71">
        <v>85.649999999999991</v>
      </c>
      <c r="M71">
        <f>85.657-C71/100</f>
        <v>85.649999999999991</v>
      </c>
      <c r="N71" s="132" t="s">
        <v>601</v>
      </c>
      <c r="O71" s="128">
        <v>86.105999999999995</v>
      </c>
      <c r="P71" s="132" t="s">
        <v>130</v>
      </c>
      <c r="Q71" s="128" t="s">
        <v>205</v>
      </c>
      <c r="R71" s="128" t="s">
        <v>606</v>
      </c>
      <c r="S71" s="128">
        <v>85.113</v>
      </c>
      <c r="T71" s="161" t="s">
        <v>607</v>
      </c>
      <c r="U71" s="143" t="s">
        <v>79</v>
      </c>
      <c r="V71" s="132">
        <v>1</v>
      </c>
      <c r="W71" s="157"/>
      <c r="X71" s="157">
        <f t="shared" si="42"/>
        <v>53.699999999999193</v>
      </c>
      <c r="Y71" s="130">
        <f t="shared" si="39"/>
        <v>26849.999999999596</v>
      </c>
      <c r="Z71" s="130">
        <v>-300</v>
      </c>
      <c r="AA71" s="130">
        <f t="shared" si="40"/>
        <v>26549.999999999596</v>
      </c>
      <c r="AB71" s="150">
        <f t="shared" si="41"/>
        <v>1266423.1646199988</v>
      </c>
      <c r="AC71" s="143"/>
    </row>
    <row r="72" spans="1:29" ht="27">
      <c r="B72" s="176"/>
      <c r="C72" s="128"/>
      <c r="D72" s="132"/>
      <c r="E72" s="132"/>
      <c r="F72" s="132"/>
      <c r="G72" s="129" t="e">
        <f t="shared" si="37"/>
        <v>#DIV/0!</v>
      </c>
      <c r="H72" s="129"/>
      <c r="I72" s="143"/>
      <c r="J72" s="128"/>
      <c r="K72" s="132"/>
      <c r="N72" s="128"/>
      <c r="O72" s="128"/>
      <c r="P72" s="128"/>
      <c r="Q72" s="128"/>
      <c r="R72" s="128"/>
      <c r="T72" s="128"/>
      <c r="U72" s="143" t="s">
        <v>79</v>
      </c>
      <c r="V72" s="132"/>
      <c r="W72" s="157">
        <f t="shared" si="38"/>
        <v>0</v>
      </c>
      <c r="X72" s="157">
        <f t="shared" si="42"/>
        <v>0</v>
      </c>
      <c r="Y72" s="130">
        <f t="shared" si="39"/>
        <v>0</v>
      </c>
      <c r="Z72" s="130"/>
      <c r="AA72" s="130">
        <f t="shared" si="40"/>
        <v>0</v>
      </c>
      <c r="AB72" s="150">
        <f t="shared" si="41"/>
        <v>1266423.1646199988</v>
      </c>
      <c r="AC72" s="143"/>
    </row>
    <row r="73" spans="1:29" ht="27">
      <c r="B73" s="176"/>
      <c r="C73" s="128"/>
      <c r="D73" s="132"/>
      <c r="E73" s="132"/>
      <c r="F73" s="132"/>
      <c r="G73" s="129" t="e">
        <f t="shared" si="37"/>
        <v>#DIV/0!</v>
      </c>
      <c r="H73" s="129"/>
      <c r="I73" s="143"/>
      <c r="J73" s="128"/>
      <c r="K73" s="132"/>
      <c r="N73" s="128"/>
      <c r="O73" s="128"/>
      <c r="P73" s="128"/>
      <c r="Q73" s="128"/>
      <c r="R73" s="128"/>
      <c r="T73" s="128"/>
      <c r="U73" s="143" t="s">
        <v>79</v>
      </c>
      <c r="V73" s="132"/>
      <c r="W73" s="157">
        <f t="shared" si="38"/>
        <v>0</v>
      </c>
      <c r="X73" s="157">
        <f t="shared" si="42"/>
        <v>0</v>
      </c>
      <c r="Y73" s="130">
        <f t="shared" si="39"/>
        <v>0</v>
      </c>
      <c r="Z73" s="130"/>
      <c r="AA73" s="130">
        <f t="shared" si="40"/>
        <v>0</v>
      </c>
      <c r="AB73" s="150">
        <f t="shared" si="41"/>
        <v>1266423.1646199988</v>
      </c>
      <c r="AC73" s="143"/>
    </row>
    <row r="74" spans="1:29" ht="27">
      <c r="B74" s="176"/>
      <c r="C74" s="128"/>
      <c r="D74" s="132"/>
      <c r="E74" s="132"/>
      <c r="F74" s="132"/>
      <c r="G74" s="129" t="e">
        <f t="shared" si="37"/>
        <v>#DIV/0!</v>
      </c>
      <c r="H74" s="129"/>
      <c r="I74" s="143"/>
      <c r="J74" s="128"/>
      <c r="K74" s="132"/>
      <c r="N74" s="128"/>
      <c r="O74" s="128"/>
      <c r="P74" s="128"/>
      <c r="Q74" s="128"/>
      <c r="R74" s="128"/>
      <c r="T74" s="128"/>
      <c r="U74" s="143" t="s">
        <v>79</v>
      </c>
      <c r="V74" s="132"/>
      <c r="W74" s="157">
        <f t="shared" si="38"/>
        <v>0</v>
      </c>
      <c r="X74" s="157">
        <f t="shared" si="42"/>
        <v>0</v>
      </c>
      <c r="Y74" s="130">
        <f t="shared" si="39"/>
        <v>0</v>
      </c>
      <c r="Z74" s="130"/>
      <c r="AA74" s="130">
        <f t="shared" si="40"/>
        <v>0</v>
      </c>
      <c r="AB74" s="150">
        <f t="shared" si="41"/>
        <v>1266423.1646199988</v>
      </c>
      <c r="AC74" s="143"/>
    </row>
    <row r="75" spans="1:29" ht="27">
      <c r="B75" s="176"/>
      <c r="C75" s="128"/>
      <c r="D75" s="132"/>
      <c r="E75" s="132"/>
      <c r="F75" s="132"/>
      <c r="G75" s="129" t="e">
        <f t="shared" si="37"/>
        <v>#DIV/0!</v>
      </c>
      <c r="H75" s="129"/>
      <c r="I75" s="143"/>
      <c r="J75" s="128"/>
      <c r="K75" s="132"/>
      <c r="N75" s="128"/>
      <c r="O75" s="128"/>
      <c r="P75" s="128"/>
      <c r="Q75" s="128"/>
      <c r="R75" s="128"/>
      <c r="T75" s="128"/>
      <c r="U75" s="143" t="s">
        <v>79</v>
      </c>
      <c r="V75" s="132"/>
      <c r="W75" s="157">
        <f t="shared" si="38"/>
        <v>0</v>
      </c>
      <c r="X75" s="157">
        <f t="shared" si="42"/>
        <v>0</v>
      </c>
      <c r="Y75" s="130">
        <f t="shared" si="39"/>
        <v>0</v>
      </c>
      <c r="Z75" s="130"/>
      <c r="AA75" s="130">
        <f t="shared" si="40"/>
        <v>0</v>
      </c>
      <c r="AB75" s="150">
        <f t="shared" si="41"/>
        <v>1266423.1646199988</v>
      </c>
      <c r="AC75" s="143"/>
    </row>
    <row r="76" spans="1:29" ht="27">
      <c r="B76" s="176"/>
      <c r="C76" s="128"/>
      <c r="D76" s="132"/>
      <c r="E76" s="132"/>
      <c r="F76" s="132"/>
      <c r="G76" s="129" t="e">
        <f t="shared" si="37"/>
        <v>#DIV/0!</v>
      </c>
      <c r="H76" s="129"/>
      <c r="I76" s="143"/>
      <c r="J76" s="128"/>
      <c r="K76" s="132"/>
      <c r="N76" s="128"/>
      <c r="O76" s="128"/>
      <c r="P76" s="128"/>
      <c r="Q76" s="128"/>
      <c r="R76" s="128"/>
      <c r="T76" s="128"/>
      <c r="U76" s="143" t="s">
        <v>79</v>
      </c>
      <c r="V76" s="132"/>
      <c r="W76" s="157">
        <f t="shared" si="38"/>
        <v>0</v>
      </c>
      <c r="X76" s="157">
        <f t="shared" si="42"/>
        <v>0</v>
      </c>
      <c r="Y76" s="130">
        <f t="shared" si="39"/>
        <v>0</v>
      </c>
      <c r="Z76" s="130"/>
      <c r="AA76" s="130">
        <f t="shared" si="40"/>
        <v>0</v>
      </c>
      <c r="AB76" s="150">
        <f t="shared" si="41"/>
        <v>1266423.1646199988</v>
      </c>
      <c r="AC76" s="143"/>
    </row>
    <row r="77" spans="1:29" ht="27">
      <c r="B77" s="176"/>
      <c r="C77" s="128"/>
      <c r="D77" s="132"/>
      <c r="E77" s="132"/>
      <c r="F77" s="132"/>
      <c r="G77" s="129" t="e">
        <f t="shared" si="37"/>
        <v>#DIV/0!</v>
      </c>
      <c r="H77" s="129"/>
      <c r="I77" s="143"/>
      <c r="J77" s="128"/>
      <c r="K77" s="132"/>
      <c r="N77" s="128"/>
      <c r="O77" s="128"/>
      <c r="P77" s="128"/>
      <c r="Q77" s="128"/>
      <c r="R77" s="128"/>
      <c r="T77" s="128"/>
      <c r="U77" s="143" t="s">
        <v>79</v>
      </c>
      <c r="V77" s="132"/>
      <c r="W77" s="157">
        <f t="shared" si="38"/>
        <v>0</v>
      </c>
      <c r="X77" s="157">
        <f t="shared" si="42"/>
        <v>0</v>
      </c>
      <c r="Y77" s="130">
        <f t="shared" si="39"/>
        <v>0</v>
      </c>
      <c r="Z77" s="130"/>
      <c r="AA77" s="130">
        <f t="shared" si="40"/>
        <v>0</v>
      </c>
      <c r="AB77" s="150">
        <f t="shared" si="41"/>
        <v>1266423.1646199988</v>
      </c>
      <c r="AC77" s="143"/>
    </row>
    <row r="78" spans="1:29" ht="27">
      <c r="B78" s="176"/>
      <c r="C78" s="128"/>
      <c r="D78" s="132"/>
      <c r="E78" s="132"/>
      <c r="F78" s="132"/>
      <c r="G78" s="129" t="e">
        <f t="shared" si="37"/>
        <v>#DIV/0!</v>
      </c>
      <c r="H78" s="129"/>
      <c r="I78" s="143"/>
      <c r="J78" s="128"/>
      <c r="K78" s="132"/>
      <c r="N78" s="128"/>
      <c r="O78" s="128"/>
      <c r="P78" s="128"/>
      <c r="Q78" s="128"/>
      <c r="R78" s="128"/>
      <c r="T78" s="128"/>
      <c r="U78" s="143" t="s">
        <v>79</v>
      </c>
      <c r="V78" s="132"/>
      <c r="W78" s="157">
        <f t="shared" si="38"/>
        <v>0</v>
      </c>
      <c r="X78" s="157">
        <f t="shared" si="42"/>
        <v>0</v>
      </c>
      <c r="Y78" s="130">
        <f t="shared" si="39"/>
        <v>0</v>
      </c>
      <c r="Z78" s="130"/>
      <c r="AA78" s="130">
        <f t="shared" si="40"/>
        <v>0</v>
      </c>
      <c r="AB78" s="150">
        <f t="shared" si="41"/>
        <v>1266423.1646199988</v>
      </c>
      <c r="AC78" s="143"/>
    </row>
    <row r="79" spans="1:29" ht="27">
      <c r="B79" s="176"/>
      <c r="C79" s="128"/>
      <c r="D79" s="132"/>
      <c r="E79" s="132"/>
      <c r="F79" s="132"/>
      <c r="G79" s="129" t="e">
        <f t="shared" si="37"/>
        <v>#DIV/0!</v>
      </c>
      <c r="H79" s="129"/>
      <c r="I79" s="143"/>
      <c r="J79" s="128"/>
      <c r="K79" s="132"/>
      <c r="N79" s="128"/>
      <c r="O79" s="128"/>
      <c r="P79" s="128"/>
      <c r="Q79" s="128"/>
      <c r="R79" s="128"/>
      <c r="T79" s="128"/>
      <c r="U79" s="143" t="s">
        <v>79</v>
      </c>
      <c r="V79" s="132"/>
      <c r="W79" s="157">
        <f t="shared" si="38"/>
        <v>0</v>
      </c>
      <c r="X79" s="157">
        <f t="shared" si="42"/>
        <v>0</v>
      </c>
      <c r="Y79" s="130">
        <f t="shared" si="39"/>
        <v>0</v>
      </c>
      <c r="Z79" s="130"/>
      <c r="AA79" s="130">
        <f t="shared" si="40"/>
        <v>0</v>
      </c>
      <c r="AB79" s="150">
        <f t="shared" si="41"/>
        <v>1266423.1646199988</v>
      </c>
      <c r="AC79" s="143"/>
    </row>
    <row r="80" spans="1:29" ht="27">
      <c r="B80" s="176"/>
      <c r="C80" s="128"/>
      <c r="D80" s="132"/>
      <c r="E80" s="132"/>
      <c r="F80" s="132"/>
      <c r="G80" s="129" t="e">
        <f t="shared" si="37"/>
        <v>#DIV/0!</v>
      </c>
      <c r="H80" s="129"/>
      <c r="I80" s="143"/>
      <c r="J80" s="128"/>
      <c r="K80" s="132"/>
      <c r="N80" s="128"/>
      <c r="O80" s="128"/>
      <c r="P80" s="128"/>
      <c r="Q80" s="128"/>
      <c r="R80" s="128"/>
      <c r="T80" s="128"/>
      <c r="U80" s="143" t="s">
        <v>79</v>
      </c>
      <c r="V80" s="132"/>
      <c r="W80" s="157">
        <f t="shared" si="38"/>
        <v>0</v>
      </c>
      <c r="X80" s="157">
        <f t="shared" si="42"/>
        <v>0</v>
      </c>
      <c r="Y80" s="130">
        <f t="shared" si="39"/>
        <v>0</v>
      </c>
      <c r="Z80" s="130"/>
      <c r="AA80" s="130">
        <f t="shared" si="40"/>
        <v>0</v>
      </c>
      <c r="AB80" s="150">
        <f t="shared" si="41"/>
        <v>1266423.1646199988</v>
      </c>
      <c r="AC80" s="143"/>
    </row>
    <row r="81" spans="2:29" ht="27">
      <c r="B81" s="176"/>
      <c r="C81" s="128"/>
      <c r="D81" s="132"/>
      <c r="E81" s="132"/>
      <c r="F81" s="132"/>
      <c r="G81" s="129" t="e">
        <f t="shared" si="37"/>
        <v>#DIV/0!</v>
      </c>
      <c r="H81" s="129"/>
      <c r="I81" s="143"/>
      <c r="J81" s="128"/>
      <c r="K81" s="132"/>
      <c r="N81" s="128"/>
      <c r="O81" s="128"/>
      <c r="P81" s="128"/>
      <c r="Q81" s="128"/>
      <c r="R81" s="128"/>
      <c r="T81" s="128"/>
      <c r="U81" s="143" t="s">
        <v>79</v>
      </c>
      <c r="V81" s="132"/>
      <c r="W81" s="157">
        <f t="shared" si="38"/>
        <v>0</v>
      </c>
      <c r="X81" s="157">
        <f t="shared" si="42"/>
        <v>0</v>
      </c>
      <c r="Y81" s="130">
        <f t="shared" si="39"/>
        <v>0</v>
      </c>
      <c r="Z81" s="130"/>
      <c r="AA81" s="130">
        <f t="shared" si="40"/>
        <v>0</v>
      </c>
      <c r="AB81" s="150">
        <f t="shared" si="41"/>
        <v>1266423.1646199988</v>
      </c>
      <c r="AC81" s="143"/>
    </row>
    <row r="82" spans="2:29" ht="14.25" thickBot="1">
      <c r="B82" s="38"/>
      <c r="C82" s="38"/>
      <c r="D82" s="38"/>
      <c r="E82" s="38"/>
      <c r="F82" s="38"/>
      <c r="G82" s="38"/>
      <c r="H82" s="131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9"/>
      <c r="X82" s="39"/>
      <c r="Y82" s="38"/>
      <c r="Z82" s="134"/>
      <c r="AA82" s="134"/>
    </row>
    <row r="83" spans="2:29" ht="14.25" thickTop="1">
      <c r="V83" s="40" t="s">
        <v>32</v>
      </c>
      <c r="W83" s="9">
        <f>SUM(W4:W61)</f>
        <v>655.39999999999941</v>
      </c>
      <c r="X83" s="9">
        <f>SUM(X4:X61)</f>
        <v>-18.000000000000682</v>
      </c>
      <c r="Y83" s="9"/>
      <c r="Z83" s="9"/>
      <c r="AA83" s="172">
        <f>SUM(AA4:AA61)</f>
        <v>103080.47841999831</v>
      </c>
      <c r="AB83" s="130"/>
    </row>
    <row r="84" spans="2:29">
      <c r="O84" t="s">
        <v>76</v>
      </c>
      <c r="W84" s="9"/>
      <c r="X84" s="9"/>
    </row>
    <row r="85" spans="2:29">
      <c r="H85" s="128" t="s">
        <v>72</v>
      </c>
      <c r="I85" s="128" t="s">
        <v>62</v>
      </c>
      <c r="W85" s="149"/>
      <c r="X85" s="149"/>
    </row>
    <row r="86" spans="2:29" ht="13.5" customHeight="1">
      <c r="H86" s="128" t="s">
        <v>71</v>
      </c>
      <c r="I86" s="128" t="s">
        <v>61</v>
      </c>
    </row>
    <row r="87" spans="2:29">
      <c r="V87" s="10"/>
      <c r="W87" s="11"/>
      <c r="X87" s="11"/>
    </row>
    <row r="89" spans="2:29" ht="14.25" thickBot="1"/>
    <row r="90" spans="2:29" ht="14.25" thickBot="1">
      <c r="H90" s="189" t="s">
        <v>33</v>
      </c>
      <c r="I90" s="190"/>
      <c r="K90" s="191" t="s">
        <v>34</v>
      </c>
      <c r="L90" s="192"/>
      <c r="M90" s="163"/>
      <c r="N90" s="155" t="s">
        <v>35</v>
      </c>
      <c r="O90" s="28" t="s">
        <v>36</v>
      </c>
      <c r="P90" s="133"/>
    </row>
    <row r="91" spans="2:29">
      <c r="H91" s="5" t="s">
        <v>37</v>
      </c>
      <c r="I91" s="139" t="s">
        <v>378</v>
      </c>
      <c r="K91" s="138" t="s">
        <v>73</v>
      </c>
      <c r="L91" s="13">
        <f>I94</f>
        <v>37</v>
      </c>
      <c r="M91" s="19"/>
      <c r="N91" s="19">
        <f>I92</f>
        <v>24</v>
      </c>
      <c r="O91" s="22">
        <f>I93</f>
        <v>13</v>
      </c>
      <c r="P91" s="50"/>
    </row>
    <row r="92" spans="2:29">
      <c r="H92" s="2" t="s">
        <v>38</v>
      </c>
      <c r="I92" s="1">
        <v>24</v>
      </c>
      <c r="K92" s="2"/>
      <c r="L92" s="15"/>
      <c r="M92" s="20"/>
      <c r="N92" s="20"/>
      <c r="O92" s="16"/>
      <c r="P92" s="50"/>
    </row>
    <row r="93" spans="2:29">
      <c r="H93" s="2" t="s">
        <v>39</v>
      </c>
      <c r="I93" s="1">
        <v>13</v>
      </c>
      <c r="K93" s="2"/>
      <c r="L93" s="15"/>
      <c r="M93" s="20"/>
      <c r="N93" s="20"/>
      <c r="O93" s="16"/>
      <c r="P93" s="50"/>
    </row>
    <row r="94" spans="2:29">
      <c r="H94" s="2" t="s">
        <v>40</v>
      </c>
      <c r="I94" s="1">
        <v>37</v>
      </c>
      <c r="K94" s="2"/>
      <c r="L94" s="15"/>
      <c r="M94" s="20"/>
      <c r="N94" s="20"/>
      <c r="O94" s="16"/>
      <c r="P94" s="50"/>
    </row>
    <row r="95" spans="2:29">
      <c r="H95" s="2" t="s">
        <v>41</v>
      </c>
      <c r="I95" s="1">
        <v>11</v>
      </c>
      <c r="K95" s="2"/>
      <c r="L95" s="15"/>
      <c r="M95" s="20"/>
      <c r="N95" s="20"/>
      <c r="O95" s="16"/>
      <c r="P95" s="50"/>
    </row>
    <row r="96" spans="2:29">
      <c r="H96" s="2" t="s">
        <v>42</v>
      </c>
      <c r="I96" s="4">
        <v>15</v>
      </c>
      <c r="K96" s="2"/>
      <c r="L96" s="15"/>
      <c r="M96" s="20"/>
      <c r="N96" s="20"/>
      <c r="O96" s="16"/>
      <c r="P96" s="50"/>
    </row>
    <row r="97" spans="8:16">
      <c r="H97" s="2" t="s">
        <v>43</v>
      </c>
      <c r="I97" s="1">
        <v>11</v>
      </c>
      <c r="K97" s="2"/>
      <c r="L97" s="15"/>
      <c r="M97" s="20"/>
      <c r="N97" s="20"/>
      <c r="O97" s="16"/>
      <c r="P97" s="50"/>
    </row>
    <row r="98" spans="8:16">
      <c r="H98" s="7" t="s">
        <v>44</v>
      </c>
      <c r="I98" s="8">
        <v>0</v>
      </c>
      <c r="K98" s="2"/>
      <c r="L98" s="15"/>
      <c r="M98" s="20"/>
      <c r="N98" s="20"/>
      <c r="O98" s="16"/>
      <c r="P98" s="50"/>
    </row>
    <row r="99" spans="8:16">
      <c r="H99" s="2" t="s">
        <v>45</v>
      </c>
      <c r="I99" s="146">
        <f>AA83</f>
        <v>103080.47841999831</v>
      </c>
      <c r="K99" s="2"/>
      <c r="L99" s="15"/>
      <c r="M99" s="20"/>
      <c r="N99" s="20"/>
      <c r="O99" s="16"/>
      <c r="P99" s="50"/>
    </row>
    <row r="100" spans="8:16">
      <c r="H100" s="2" t="s">
        <v>46</v>
      </c>
      <c r="I100" s="4">
        <v>223079</v>
      </c>
      <c r="K100" s="2"/>
      <c r="L100" s="15"/>
      <c r="M100" s="20"/>
      <c r="N100" s="20"/>
      <c r="O100" s="16"/>
      <c r="P100" s="50"/>
    </row>
    <row r="101" spans="8:16">
      <c r="H101" s="2" t="s">
        <v>47</v>
      </c>
      <c r="I101" s="147">
        <v>366177</v>
      </c>
      <c r="K101" s="5"/>
      <c r="L101" s="13"/>
      <c r="M101" s="19"/>
      <c r="N101" s="19"/>
      <c r="O101" s="14"/>
      <c r="P101" s="50"/>
    </row>
    <row r="102" spans="8:16">
      <c r="H102" s="2" t="s">
        <v>15</v>
      </c>
      <c r="I102" s="146">
        <f>I99/I94</f>
        <v>2785.9588762161707</v>
      </c>
      <c r="K102" s="2"/>
      <c r="L102" s="15"/>
      <c r="M102" s="20"/>
      <c r="N102" s="20"/>
      <c r="O102" s="16"/>
      <c r="P102" s="50"/>
    </row>
    <row r="103" spans="8:16">
      <c r="H103" s="2" t="s">
        <v>16</v>
      </c>
      <c r="I103" s="146">
        <f>I100/I94</f>
        <v>6029.1621621621625</v>
      </c>
      <c r="K103" s="2"/>
      <c r="L103" s="15"/>
      <c r="M103" s="20"/>
      <c r="N103" s="20"/>
      <c r="O103" s="16"/>
      <c r="P103" s="50"/>
    </row>
    <row r="104" spans="8:16">
      <c r="H104" s="2" t="s">
        <v>48</v>
      </c>
      <c r="I104" s="1">
        <v>3</v>
      </c>
      <c r="K104" s="2"/>
      <c r="L104" s="15"/>
      <c r="M104" s="20"/>
      <c r="N104" s="20"/>
      <c r="O104" s="16"/>
      <c r="P104" s="50"/>
    </row>
    <row r="105" spans="8:16">
      <c r="H105" s="2" t="s">
        <v>49</v>
      </c>
      <c r="I105" s="1">
        <v>5</v>
      </c>
      <c r="K105" s="2"/>
      <c r="L105" s="15"/>
      <c r="M105" s="20"/>
      <c r="N105" s="20"/>
      <c r="O105" s="16"/>
      <c r="P105" s="50"/>
    </row>
    <row r="106" spans="8:16">
      <c r="H106" s="2" t="s">
        <v>50</v>
      </c>
      <c r="I106" s="12">
        <v>66.7</v>
      </c>
      <c r="K106" s="2"/>
      <c r="L106" s="15"/>
      <c r="M106" s="20"/>
      <c r="N106" s="20"/>
      <c r="O106" s="16"/>
      <c r="P106" s="50"/>
    </row>
    <row r="107" spans="8:16" ht="14.25" thickBot="1">
      <c r="H107" s="3" t="s">
        <v>14</v>
      </c>
      <c r="I107" s="6">
        <f>I95/I94</f>
        <v>0.29729729729729731</v>
      </c>
      <c r="K107" s="2"/>
      <c r="L107" s="15"/>
      <c r="M107" s="20"/>
      <c r="N107" s="20"/>
      <c r="O107" s="16"/>
      <c r="P107" s="50"/>
    </row>
    <row r="108" spans="8:16">
      <c r="K108" s="2"/>
      <c r="L108" s="15"/>
      <c r="M108" s="20"/>
      <c r="N108" s="20"/>
      <c r="O108" s="16"/>
      <c r="P108" s="50"/>
    </row>
    <row r="109" spans="8:16" ht="14.25" thickBot="1">
      <c r="K109" s="3"/>
      <c r="L109" s="17"/>
      <c r="M109" s="21"/>
      <c r="N109" s="21"/>
      <c r="O109" s="18"/>
      <c r="P109" s="50"/>
    </row>
    <row r="110" spans="8:16" ht="14.25" thickBot="1">
      <c r="K110" s="35" t="s">
        <v>32</v>
      </c>
      <c r="L110" s="41">
        <f>SUM(L91:L109)</f>
        <v>37</v>
      </c>
      <c r="M110" s="41"/>
      <c r="N110" s="41">
        <f>SUM(N91:N109)</f>
        <v>24</v>
      </c>
      <c r="O110" s="41">
        <f>SUM(O91:O109)</f>
        <v>13</v>
      </c>
      <c r="P110" s="50"/>
    </row>
    <row r="112" spans="8:16" ht="14.25" thickBot="1"/>
    <row r="113" spans="11:18" ht="14.25" thickBot="1">
      <c r="K113" s="191" t="s">
        <v>51</v>
      </c>
      <c r="L113" s="192"/>
      <c r="M113" s="163"/>
      <c r="N113" s="155" t="s">
        <v>35</v>
      </c>
      <c r="O113" s="26" t="s">
        <v>36</v>
      </c>
      <c r="P113" s="151"/>
      <c r="Q113" s="27" t="s">
        <v>52</v>
      </c>
      <c r="R113" s="133"/>
    </row>
    <row r="114" spans="11:18">
      <c r="K114" s="5" t="s">
        <v>53</v>
      </c>
      <c r="L114" s="13">
        <v>0</v>
      </c>
      <c r="M114" s="19"/>
      <c r="N114" s="19">
        <v>0</v>
      </c>
      <c r="O114" s="23">
        <v>0</v>
      </c>
      <c r="P114" s="152"/>
      <c r="Q114" s="24">
        <v>0</v>
      </c>
      <c r="R114" s="50"/>
    </row>
    <row r="115" spans="11:18">
      <c r="K115" s="2" t="s">
        <v>54</v>
      </c>
      <c r="L115" s="15">
        <v>0</v>
      </c>
      <c r="M115" s="15"/>
      <c r="N115" s="15">
        <v>0</v>
      </c>
      <c r="O115" s="20">
        <v>0</v>
      </c>
      <c r="P115" s="153"/>
      <c r="Q115" s="25">
        <v>0</v>
      </c>
      <c r="R115" s="50"/>
    </row>
    <row r="116" spans="11:18">
      <c r="K116" s="2" t="s">
        <v>55</v>
      </c>
      <c r="L116" s="15">
        <v>0</v>
      </c>
      <c r="M116" s="15"/>
      <c r="N116" s="15">
        <v>0</v>
      </c>
      <c r="O116" s="20">
        <v>0</v>
      </c>
      <c r="P116" s="153"/>
      <c r="Q116" s="25">
        <v>0</v>
      </c>
      <c r="R116" s="50"/>
    </row>
    <row r="117" spans="11:18">
      <c r="K117" s="2" t="s">
        <v>56</v>
      </c>
      <c r="L117" s="15">
        <v>0</v>
      </c>
      <c r="M117" s="15"/>
      <c r="N117" s="15">
        <v>0</v>
      </c>
      <c r="O117" s="20">
        <v>0</v>
      </c>
      <c r="P117" s="153"/>
      <c r="Q117" s="25">
        <v>0</v>
      </c>
      <c r="R117" s="50"/>
    </row>
    <row r="118" spans="11:18" ht="14.25" thickBot="1">
      <c r="K118" s="30" t="s">
        <v>57</v>
      </c>
      <c r="L118" s="31">
        <v>0</v>
      </c>
      <c r="M118" s="31"/>
      <c r="N118" s="31">
        <v>0</v>
      </c>
      <c r="O118" s="32">
        <v>0</v>
      </c>
      <c r="P118" s="154"/>
      <c r="Q118" s="33">
        <v>0</v>
      </c>
      <c r="R118" s="50"/>
    </row>
    <row r="119" spans="11:18" ht="14.25" thickBot="1">
      <c r="K119" s="29" t="s">
        <v>32</v>
      </c>
      <c r="L119" s="29"/>
      <c r="M119" s="29"/>
      <c r="N119" s="29"/>
      <c r="O119" s="34"/>
      <c r="P119" s="134"/>
      <c r="Q119" s="121">
        <f>SUM(Q114:Q118)</f>
        <v>0</v>
      </c>
      <c r="R119" s="134"/>
    </row>
  </sheetData>
  <autoFilter ref="A3:AD61"/>
  <mergeCells count="3">
    <mergeCell ref="H90:I90"/>
    <mergeCell ref="K90:L90"/>
    <mergeCell ref="K113:L113"/>
  </mergeCells>
  <phoneticPr fontId="13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33"/>
  <sheetViews>
    <sheetView tabSelected="1" topLeftCell="A5" workbookViewId="0">
      <selection activeCell="C33" sqref="C33"/>
    </sheetView>
  </sheetViews>
  <sheetFormatPr defaultColWidth="8.875" defaultRowHeight="13.5"/>
  <cols>
    <col min="2" max="2" width="12.5" bestFit="1" customWidth="1"/>
    <col min="3" max="3" width="12.125" bestFit="1" customWidth="1"/>
  </cols>
  <sheetData>
    <row r="1" spans="1:9">
      <c r="A1" s="123" t="s">
        <v>58</v>
      </c>
      <c r="B1" s="124"/>
      <c r="C1" s="124"/>
      <c r="D1" s="124"/>
      <c r="E1" s="124"/>
      <c r="F1" s="124"/>
      <c r="G1" s="124"/>
      <c r="H1" s="124"/>
      <c r="I1" s="127"/>
    </row>
    <row r="2" spans="1:9" ht="14.25" thickBot="1">
      <c r="A2" s="125" t="s">
        <v>59</v>
      </c>
      <c r="B2" s="126"/>
      <c r="C2" s="126"/>
      <c r="D2" s="126"/>
      <c r="E2" s="126"/>
      <c r="F2" s="126"/>
      <c r="G2" s="126"/>
      <c r="H2" s="126"/>
      <c r="I2" s="127"/>
    </row>
    <row r="3" spans="1:9" ht="14.25" thickTop="1">
      <c r="A3" s="122"/>
      <c r="D3" s="122"/>
    </row>
    <row r="6" spans="1:9">
      <c r="B6" t="s">
        <v>68</v>
      </c>
    </row>
    <row r="7" spans="1:9">
      <c r="A7" t="s">
        <v>60</v>
      </c>
      <c r="B7" s="173" t="s">
        <v>346</v>
      </c>
      <c r="C7" s="128" t="s">
        <v>347</v>
      </c>
    </row>
    <row r="8" spans="1:9">
      <c r="C8" s="128" t="s">
        <v>348</v>
      </c>
      <c r="D8" s="128"/>
    </row>
    <row r="9" spans="1:9">
      <c r="C9" s="128" t="s">
        <v>351</v>
      </c>
    </row>
    <row r="10" spans="1:9">
      <c r="C10" s="128" t="s">
        <v>350</v>
      </c>
    </row>
    <row r="11" spans="1:9">
      <c r="C11" s="128" t="s">
        <v>349</v>
      </c>
      <c r="D11" s="128"/>
    </row>
    <row r="12" spans="1:9">
      <c r="B12" s="140"/>
      <c r="C12" s="128" t="s">
        <v>353</v>
      </c>
    </row>
    <row r="13" spans="1:9">
      <c r="B13" s="140"/>
      <c r="C13" s="128"/>
    </row>
    <row r="14" spans="1:9">
      <c r="B14" s="128" t="s">
        <v>375</v>
      </c>
      <c r="C14" s="128" t="s">
        <v>376</v>
      </c>
      <c r="D14" s="128"/>
    </row>
    <row r="15" spans="1:9">
      <c r="C15" s="128" t="s">
        <v>377</v>
      </c>
      <c r="D15" s="128"/>
    </row>
    <row r="16" spans="1:9">
      <c r="D16" s="128"/>
    </row>
    <row r="17" spans="2:4">
      <c r="B17" t="s">
        <v>449</v>
      </c>
      <c r="C17" s="128" t="s">
        <v>450</v>
      </c>
    </row>
    <row r="18" spans="2:4">
      <c r="B18" s="140"/>
      <c r="C18" s="128" t="s">
        <v>451</v>
      </c>
    </row>
    <row r="19" spans="2:4">
      <c r="C19" s="128" t="s">
        <v>452</v>
      </c>
      <c r="D19" s="128"/>
    </row>
    <row r="20" spans="2:4">
      <c r="C20" s="128" t="s">
        <v>453</v>
      </c>
      <c r="D20" s="128"/>
    </row>
    <row r="21" spans="2:4">
      <c r="D21" s="128"/>
    </row>
    <row r="22" spans="2:4">
      <c r="B22" t="s">
        <v>579</v>
      </c>
      <c r="C22" s="156" t="s">
        <v>580</v>
      </c>
      <c r="D22" s="128"/>
    </row>
    <row r="23" spans="2:4">
      <c r="C23" s="128" t="s">
        <v>581</v>
      </c>
    </row>
    <row r="24" spans="2:4">
      <c r="B24" s="140"/>
      <c r="C24" s="128" t="s">
        <v>582</v>
      </c>
      <c r="D24" s="128"/>
    </row>
    <row r="25" spans="2:4">
      <c r="C25" s="128" t="s">
        <v>583</v>
      </c>
      <c r="D25" s="128"/>
    </row>
    <row r="26" spans="2:4">
      <c r="C26" s="128" t="s">
        <v>584</v>
      </c>
      <c r="D26" s="128"/>
    </row>
    <row r="27" spans="2:4">
      <c r="C27" s="128" t="s">
        <v>585</v>
      </c>
      <c r="D27" s="128"/>
    </row>
    <row r="28" spans="2:4">
      <c r="D28" s="128"/>
    </row>
    <row r="29" spans="2:4">
      <c r="B29" t="s">
        <v>598</v>
      </c>
      <c r="C29" t="s">
        <v>599</v>
      </c>
    </row>
    <row r="30" spans="2:4">
      <c r="C30" s="128" t="s">
        <v>608</v>
      </c>
    </row>
    <row r="32" spans="2:4">
      <c r="B32" s="128" t="s">
        <v>609</v>
      </c>
      <c r="C32" s="128" t="s">
        <v>610</v>
      </c>
    </row>
    <row r="33" spans="3:3">
      <c r="C33" s="128" t="s">
        <v>611</v>
      </c>
    </row>
  </sheetData>
  <phoneticPr fontId="17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topLeftCell="A357" zoomScale="80" zoomScaleNormal="80" workbookViewId="0">
      <selection activeCell="T372" sqref="T372"/>
    </sheetView>
  </sheetViews>
  <sheetFormatPr defaultRowHeight="13.5"/>
  <sheetData/>
  <phoneticPr fontId="13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B2:N3"/>
  <sheetViews>
    <sheetView workbookViewId="0">
      <selection activeCell="A8" sqref="A8"/>
    </sheetView>
  </sheetViews>
  <sheetFormatPr defaultRowHeight="13.5"/>
  <cols>
    <col min="2" max="2" width="10.5" style="140" bestFit="1" customWidth="1"/>
    <col min="3" max="3" width="25.75" customWidth="1"/>
    <col min="4" max="4" width="16" bestFit="1" customWidth="1"/>
    <col min="5" max="5" width="17.375" bestFit="1" customWidth="1"/>
    <col min="6" max="6" width="20.5" bestFit="1" customWidth="1"/>
    <col min="7" max="7" width="21.625" customWidth="1"/>
    <col min="8" max="8" width="20.375" customWidth="1"/>
    <col min="9" max="9" width="19.5" customWidth="1"/>
    <col min="10" max="10" width="18.625" customWidth="1"/>
    <col min="11" max="11" width="18.125" customWidth="1"/>
    <col min="12" max="12" width="17" customWidth="1"/>
    <col min="13" max="13" width="17.625" customWidth="1"/>
    <col min="14" max="14" width="18.5" customWidth="1"/>
  </cols>
  <sheetData>
    <row r="2" spans="2:14">
      <c r="C2" t="s">
        <v>103</v>
      </c>
      <c r="D2" t="s">
        <v>104</v>
      </c>
      <c r="E2" t="s">
        <v>105</v>
      </c>
      <c r="F2" t="s">
        <v>106</v>
      </c>
      <c r="G2" t="s">
        <v>107</v>
      </c>
      <c r="H2" t="s">
        <v>108</v>
      </c>
      <c r="I2" t="s">
        <v>109</v>
      </c>
      <c r="J2" t="s">
        <v>110</v>
      </c>
      <c r="K2" t="s">
        <v>111</v>
      </c>
      <c r="L2" t="s">
        <v>112</v>
      </c>
      <c r="M2" t="s">
        <v>113</v>
      </c>
      <c r="N2" t="s">
        <v>114</v>
      </c>
    </row>
    <row r="3" spans="2:14" ht="40.5">
      <c r="B3" s="140">
        <v>42210</v>
      </c>
      <c r="C3" s="144" t="s">
        <v>116</v>
      </c>
      <c r="D3" s="128" t="s">
        <v>115</v>
      </c>
      <c r="E3" s="144" t="s">
        <v>126</v>
      </c>
      <c r="F3" s="128" t="s">
        <v>117</v>
      </c>
      <c r="G3" s="159" t="s">
        <v>118</v>
      </c>
      <c r="H3" s="144" t="s">
        <v>119</v>
      </c>
      <c r="I3" s="144" t="s">
        <v>120</v>
      </c>
      <c r="J3" s="159" t="s">
        <v>123</v>
      </c>
      <c r="K3" s="159" t="s">
        <v>122</v>
      </c>
      <c r="L3" s="159" t="s">
        <v>121</v>
      </c>
      <c r="M3" s="159" t="s">
        <v>124</v>
      </c>
      <c r="N3" s="160" t="s">
        <v>125</v>
      </c>
    </row>
  </sheetData>
  <phoneticPr fontId="16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ルール＆合計</vt:lpstr>
      <vt:lpstr>Demo_Trade</vt:lpstr>
      <vt:lpstr>気づき</vt:lpstr>
      <vt:lpstr>Demo_Trade_画像</vt:lpstr>
      <vt:lpstr>相場Tracking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esai</cp:lastModifiedBy>
  <cp:revision/>
  <cp:lastPrinted>1899-12-30T00:00:00Z</cp:lastPrinted>
  <dcterms:created xsi:type="dcterms:W3CDTF">2013-10-09T23:04:08Z</dcterms:created>
  <dcterms:modified xsi:type="dcterms:W3CDTF">2015-09-23T00:22:25Z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