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デモトレード用_AUDJPY_1日足" sheetId="5" r:id="rId5"/>
    <sheet name="過去検証ＮＺＤＪＰＹ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<sst xmlns="http://schemas.openxmlformats.org/spreadsheetml/2006/main" count="407" uniqueCount="139">
  <si>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</si>
  <si>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</si>
  <si>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</si>
  <si>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</si>
  <si>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</si>
  <si>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</si>
  <si>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</si>
  <si>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</si>
  <si>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</si>
  <si>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</si>
  <si>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</si>
  <si>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</si>
  <si>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</si>
  <si>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</si>
  <si>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</si>
  <si>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</si>
  <si>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</si>
  <si>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</si>
  <si>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</si>
  <si>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</si>
  <si>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</si>
  <si>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</si>
  <si>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</si>
  <si>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</si>
  <si>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</si>
  <si>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</si>
  <si>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</si>
  <si>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</si>
  <si>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</si>
  <si>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</si>
  <si>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</si>
  <si>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</si>
  <si>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</si>
  <si>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</si>
  <si>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</si>
  <si>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</si>
  <si>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</si>
  <si>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</si>
  <si>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</si>
  <si>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</si>
  <si>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</si>
  <si>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</si>
  <si>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</si>
  <si>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</si>
  <si>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</si>
  <si>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</si>
  <si>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</si>
  <si>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</si>
  <si>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</si>
  <si>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</si>
  <si>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</si>
  <si>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</si>
  <si>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</si>
  <si>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</si>
  <si>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</si>
  <si>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</si>
  <si>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</si>
  <si>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</si>
  <si>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</si>
  <si>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</si>
  <si>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</si>
  <si>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</si>
  <si>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</si>
  <si>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</si>
  <si>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</si>
  <si>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</si>
  <si>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</si>
  <si>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</si>
  <si>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</si>
  <si>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</si>
  <si>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</si>
  <si>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</si>
  <si>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</si>
  <si>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</si>
  <si>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</si>
  <si>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</si>
  <si>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</si>
  <si>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</si>
  <si>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</si>
  <si>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</si>
  <si>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</si>
  <si>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</si>
  <si>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</si>
  <si>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</si>
  <si>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</si>
  <si>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</si>
  <si>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</si>
  <si>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</si>
  <si>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</si>
  <si>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</si>
  <si>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</si>
  <si>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</si>
  <si>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</si>
  <si>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</si>
  <si>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</si>
  <si>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</si>
  <si>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</si>
  <si>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</si>
  <si>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</si>
  <si>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</si>
  <si>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</si>
  <si>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</si>
  <si>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</si>
  <si>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</si>
  <si>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</si>
  <si>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トレーリング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</si>
  <si>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</si>
  <si>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</si>
  <si>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</si>
  <si>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</si>
  <si>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</si>
  <si>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</si>
  <si>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</si>
  <si>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</si>
  <si>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</si>
  <si>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</si>
  <si>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EB</t>
  </si>
  <si>
    <t>NZD</t>
  </si>
  <si>
    <t>JPY</t>
  </si>
  <si>
    <t>EB</t>
  </si>
  <si>
    <t>ストップ切り上げ</t>
  </si>
  <si>
    <t>ストップ切り下げ</t>
  </si>
  <si>
    <t>損切り</t>
  </si>
  <si>
    <t>一番目の画像です</t>
  </si>
  <si>
    <t>買いで入りました。</t>
  </si>
  <si>
    <t>二番目の画像です</t>
  </si>
  <si>
    <t>売りで入りました</t>
  </si>
  <si>
    <t>3番目の画像です</t>
  </si>
  <si>
    <t>買いで入りました</t>
  </si>
  <si>
    <t>8番目の画像です</t>
  </si>
  <si>
    <t>21番目の画像です</t>
  </si>
  <si>
    <t>ここにきてですが、質問です。</t>
  </si>
  <si>
    <t>左のＥＢを見つけた時、売りで入ったのですが、</t>
  </si>
  <si>
    <t>そのあと、なかなか決済ポイントを見つけられませんでした。</t>
  </si>
  <si>
    <t>こういうとき、最初に、売り（買い）ポイントを見つけたら、決済のＥＢも探してからえんとりーすべきなのでしょうか？</t>
  </si>
  <si>
    <t>けれど、それができるのは過去検証だけで、デモや実際のトレードには適応されないと思います。</t>
  </si>
  <si>
    <t>（なので決済微妙なポイントな気もしています）</t>
  </si>
  <si>
    <t>こういう場面にあったらどうしたらいいのでしょうか。</t>
  </si>
  <si>
    <t>なにか落とし所がありましたらお教えください。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</si>
</sst>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0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99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10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638175</xdr:colOff>
      <xdr:row>16</xdr:row>
      <xdr:rowOff>161925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671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285750</xdr:colOff>
      <xdr:row>42</xdr:row>
      <xdr:rowOff>104775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71900"/>
          <a:ext cx="37147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2</xdr:col>
      <xdr:colOff>466725</xdr:colOff>
      <xdr:row>54</xdr:row>
      <xdr:rowOff>123825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15250"/>
          <a:ext cx="1838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60</xdr:row>
      <xdr:rowOff>142875</xdr:rowOff>
    </xdr:from>
    <xdr:to>
      <xdr:col>3</xdr:col>
      <xdr:colOff>400050</xdr:colOff>
      <xdr:row>79</xdr:row>
      <xdr:rowOff>104775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0429875"/>
          <a:ext cx="2362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3</xdr:col>
      <xdr:colOff>180975</xdr:colOff>
      <xdr:row>102</xdr:row>
      <xdr:rowOff>76200</xdr:rowOff>
    </xdr:to>
    <xdr:pic>
      <xdr:nvPicPr>
        <xdr:cNvPr id="5" name="Picture 5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916150"/>
          <a:ext cx="22383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2" t="s">
        <v>0</v>
      </c>
      <c r="E1" s="233"/>
      <c r="F1" s="234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5">
        <v>500000</v>
      </c>
      <c r="E2" s="235"/>
      <c r="F2" s="235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6">
        <f>SUM(D2+F36)</f>
        <v>500000</v>
      </c>
      <c r="E3" s="236"/>
      <c r="F3" s="237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8" t="s">
        <v>87</v>
      </c>
      <c r="B36" s="239"/>
      <c r="C36" s="240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J102"/>
  <sheetViews>
    <sheetView tabSelected="1" zoomScalePageLayoutView="0" workbookViewId="0" topLeftCell="A76">
      <selection activeCell="J102" sqref="J102"/>
    </sheetView>
  </sheetViews>
  <sheetFormatPr defaultColWidth="9.00390625" defaultRowHeight="13.5"/>
  <sheetData>
    <row r="1" ht="13.5">
      <c r="J1" t="s">
        <v>123</v>
      </c>
    </row>
    <row r="2" ht="13.5">
      <c r="J2" t="s">
        <v>124</v>
      </c>
    </row>
    <row r="22" ht="13.5">
      <c r="J22" t="s">
        <v>125</v>
      </c>
    </row>
    <row r="23" ht="13.5">
      <c r="J23" t="s">
        <v>126</v>
      </c>
    </row>
    <row r="46" ht="13.5">
      <c r="J46" t="s">
        <v>127</v>
      </c>
    </row>
    <row r="47" ht="13.5">
      <c r="J47" t="s">
        <v>128</v>
      </c>
    </row>
    <row r="61" ht="13.5">
      <c r="J61" t="s">
        <v>129</v>
      </c>
    </row>
    <row r="62" ht="13.5">
      <c r="J62" t="s">
        <v>126</v>
      </c>
    </row>
    <row r="88" ht="13.5">
      <c r="J88" t="s">
        <v>130</v>
      </c>
    </row>
    <row r="89" ht="13.5">
      <c r="J89" t="s">
        <v>131</v>
      </c>
    </row>
    <row r="91" ht="13.5">
      <c r="J91" t="s">
        <v>132</v>
      </c>
    </row>
    <row r="92" ht="13.5">
      <c r="J92" t="s">
        <v>133</v>
      </c>
    </row>
    <row r="93" ht="13.5">
      <c r="J93" t="s">
        <v>136</v>
      </c>
    </row>
    <row r="94" ht="13.5">
      <c r="J94" t="s">
        <v>134</v>
      </c>
    </row>
    <row r="97" ht="13.5">
      <c r="J97" t="s">
        <v>135</v>
      </c>
    </row>
    <row r="100" ht="13.5">
      <c r="J100" t="s">
        <v>137</v>
      </c>
    </row>
    <row r="102" ht="13.5">
      <c r="J102" t="s">
        <v>138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2"/>
      <c r="Q3" s="243"/>
      <c r="R3" s="243"/>
      <c r="S3" s="243"/>
      <c r="T3" s="243"/>
      <c r="U3" s="243"/>
      <c r="V3" s="243"/>
    </row>
    <row r="4" spans="1:22" ht="13.5">
      <c r="A4" s="154"/>
      <c r="B4" s="241"/>
      <c r="C4" s="241"/>
      <c r="D4" s="241"/>
      <c r="P4" s="243"/>
      <c r="Q4" s="243"/>
      <c r="R4" s="243"/>
      <c r="S4" s="243"/>
      <c r="T4" s="243"/>
      <c r="U4" s="243"/>
      <c r="V4" s="243"/>
    </row>
    <row r="5" spans="1:22" ht="13.5">
      <c r="A5" s="154"/>
      <c r="B5" s="241"/>
      <c r="C5" s="241"/>
      <c r="D5" s="241"/>
      <c r="P5" s="243"/>
      <c r="Q5" s="243"/>
      <c r="R5" s="243"/>
      <c r="S5" s="243"/>
      <c r="T5" s="243"/>
      <c r="U5" s="243"/>
      <c r="V5" s="243"/>
    </row>
    <row r="6" spans="1:22" ht="13.5">
      <c r="A6" s="155"/>
      <c r="B6" s="241"/>
      <c r="C6" s="241"/>
      <c r="D6" s="241"/>
      <c r="P6" s="243"/>
      <c r="Q6" s="243"/>
      <c r="R6" s="243"/>
      <c r="S6" s="243"/>
      <c r="T6" s="243"/>
      <c r="U6" s="243"/>
      <c r="V6" s="243"/>
    </row>
    <row r="7" spans="1:22" ht="13.5">
      <c r="A7" s="154"/>
      <c r="G7" s="156"/>
      <c r="P7" s="243"/>
      <c r="Q7" s="243"/>
      <c r="R7" s="243"/>
      <c r="S7" s="243"/>
      <c r="T7" s="243"/>
      <c r="U7" s="243"/>
      <c r="V7" s="243"/>
    </row>
    <row r="8" spans="1:22" ht="13.5">
      <c r="A8" s="154" t="s">
        <v>55</v>
      </c>
      <c r="P8" s="243"/>
      <c r="Q8" s="243"/>
      <c r="R8" s="243"/>
      <c r="S8" s="243"/>
      <c r="T8" s="243"/>
      <c r="U8" s="243"/>
      <c r="V8" s="243"/>
    </row>
    <row r="9" spans="16:22" ht="8.25" customHeight="1">
      <c r="P9" s="243"/>
      <c r="Q9" s="243"/>
      <c r="R9" s="243"/>
      <c r="S9" s="243"/>
      <c r="T9" s="243"/>
      <c r="U9" s="243"/>
      <c r="V9" s="243"/>
    </row>
    <row r="10" spans="2:22" ht="14.25">
      <c r="B10" s="150" t="s">
        <v>92</v>
      </c>
      <c r="P10" s="243"/>
      <c r="Q10" s="243"/>
      <c r="R10" s="243"/>
      <c r="S10" s="243"/>
      <c r="T10" s="243"/>
      <c r="U10" s="243"/>
      <c r="V10" s="243"/>
    </row>
    <row r="11" spans="16:22" ht="13.5">
      <c r="P11" s="243"/>
      <c r="Q11" s="243"/>
      <c r="R11" s="243"/>
      <c r="S11" s="243"/>
      <c r="T11" s="243"/>
      <c r="U11" s="243"/>
      <c r="V11" s="243"/>
    </row>
    <row r="12" spans="16:22" ht="13.5">
      <c r="P12" s="243"/>
      <c r="Q12" s="243"/>
      <c r="R12" s="243"/>
      <c r="S12" s="243"/>
      <c r="T12" s="243"/>
      <c r="U12" s="243"/>
      <c r="V12" s="243"/>
    </row>
    <row r="13" spans="16:22" ht="13.5">
      <c r="P13" s="243"/>
      <c r="Q13" s="243"/>
      <c r="R13" s="243"/>
      <c r="S13" s="243"/>
      <c r="T13" s="243"/>
      <c r="U13" s="243"/>
      <c r="V13" s="243"/>
    </row>
    <row r="14" spans="16:22" ht="13.5">
      <c r="P14" s="243"/>
      <c r="Q14" s="243"/>
      <c r="R14" s="243"/>
      <c r="S14" s="243"/>
      <c r="T14" s="243"/>
      <c r="U14" s="243"/>
      <c r="V14" s="243"/>
    </row>
    <row r="15" spans="16:22" ht="13.5">
      <c r="P15" s="243"/>
      <c r="Q15" s="243"/>
      <c r="R15" s="243"/>
      <c r="S15" s="243"/>
      <c r="T15" s="243"/>
      <c r="U15" s="243"/>
      <c r="V15" s="243"/>
    </row>
    <row r="16" spans="16:22" ht="13.5">
      <c r="P16" s="243"/>
      <c r="Q16" s="243"/>
      <c r="R16" s="243"/>
      <c r="S16" s="243"/>
      <c r="T16" s="243"/>
      <c r="U16" s="243"/>
      <c r="V16" s="243"/>
    </row>
    <row r="17" spans="16:22" ht="13.5">
      <c r="P17" s="243"/>
      <c r="Q17" s="243"/>
      <c r="R17" s="243"/>
      <c r="S17" s="243"/>
      <c r="T17" s="243"/>
      <c r="U17" s="243"/>
      <c r="V17" s="243"/>
    </row>
    <row r="18" spans="16:22" ht="13.5">
      <c r="P18" s="243"/>
      <c r="Q18" s="243"/>
      <c r="R18" s="243"/>
      <c r="S18" s="243"/>
      <c r="T18" s="243"/>
      <c r="U18" s="243"/>
      <c r="V18" s="243"/>
    </row>
    <row r="19" spans="16:22" ht="13.5">
      <c r="P19" s="243"/>
      <c r="Q19" s="243"/>
      <c r="R19" s="243"/>
      <c r="S19" s="243"/>
      <c r="T19" s="243"/>
      <c r="U19" s="243"/>
      <c r="V19" s="243"/>
    </row>
    <row r="20" spans="2:22" ht="14.25">
      <c r="B20" s="150" t="s">
        <v>93</v>
      </c>
      <c r="P20" s="243"/>
      <c r="Q20" s="243"/>
      <c r="R20" s="243"/>
      <c r="S20" s="243"/>
      <c r="T20" s="243"/>
      <c r="U20" s="243"/>
      <c r="V20" s="243"/>
    </row>
    <row r="21" spans="16:22" ht="13.5">
      <c r="P21" s="243"/>
      <c r="Q21" s="243"/>
      <c r="R21" s="243"/>
      <c r="S21" s="243"/>
      <c r="T21" s="243"/>
      <c r="U21" s="243"/>
      <c r="V21" s="243"/>
    </row>
    <row r="22" spans="16:22" ht="13.5">
      <c r="P22" s="243"/>
      <c r="Q22" s="243"/>
      <c r="R22" s="243"/>
      <c r="S22" s="243"/>
      <c r="T22" s="243"/>
      <c r="U22" s="243"/>
      <c r="V22" s="243"/>
    </row>
    <row r="23" spans="16:22" ht="13.5">
      <c r="P23" s="243"/>
      <c r="Q23" s="243"/>
      <c r="R23" s="243"/>
      <c r="S23" s="243"/>
      <c r="T23" s="243"/>
      <c r="U23" s="243"/>
      <c r="V23" s="243"/>
    </row>
    <row r="24" spans="16:22" ht="13.5">
      <c r="P24" s="243"/>
      <c r="Q24" s="243"/>
      <c r="R24" s="243"/>
      <c r="S24" s="243"/>
      <c r="T24" s="243"/>
      <c r="U24" s="243"/>
      <c r="V24" s="243"/>
    </row>
    <row r="25" spans="2:22" ht="14.25">
      <c r="B25" s="150" t="s">
        <v>94</v>
      </c>
      <c r="P25" s="243"/>
      <c r="Q25" s="243"/>
      <c r="R25" s="243"/>
      <c r="S25" s="243"/>
      <c r="T25" s="243"/>
      <c r="U25" s="243"/>
      <c r="V25" s="243"/>
    </row>
    <row r="26" spans="16:22" ht="13.5">
      <c r="P26" s="243"/>
      <c r="Q26" s="243"/>
      <c r="R26" s="243"/>
      <c r="S26" s="243"/>
      <c r="T26" s="243"/>
      <c r="U26" s="243"/>
      <c r="V26" s="243"/>
    </row>
    <row r="27" spans="16:22" ht="13.5">
      <c r="P27" s="243"/>
      <c r="Q27" s="243"/>
      <c r="R27" s="243"/>
      <c r="S27" s="243"/>
      <c r="T27" s="243"/>
      <c r="U27" s="243"/>
      <c r="V27" s="243"/>
    </row>
    <row r="28" spans="16:22" ht="13.5">
      <c r="P28" s="243"/>
      <c r="Q28" s="243"/>
      <c r="R28" s="243"/>
      <c r="S28" s="243"/>
      <c r="T28" s="243"/>
      <c r="U28" s="243"/>
      <c r="V28" s="243"/>
    </row>
    <row r="29" spans="16:22" ht="13.5">
      <c r="P29" s="243"/>
      <c r="Q29" s="243"/>
      <c r="R29" s="243"/>
      <c r="S29" s="243"/>
      <c r="T29" s="243"/>
      <c r="U29" s="243"/>
      <c r="V29" s="243"/>
    </row>
    <row r="30" spans="16:22" ht="13.5">
      <c r="P30" s="243"/>
      <c r="Q30" s="243"/>
      <c r="R30" s="243"/>
      <c r="S30" s="243"/>
      <c r="T30" s="243"/>
      <c r="U30" s="243"/>
      <c r="V30" s="243"/>
    </row>
    <row r="31" spans="16:22" ht="13.5">
      <c r="P31" s="243"/>
      <c r="Q31" s="243"/>
      <c r="R31" s="243"/>
      <c r="S31" s="243"/>
      <c r="T31" s="243"/>
      <c r="U31" s="243"/>
      <c r="V31" s="243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5" sqref="M5:P5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f>I2+V125</f>
        <v>539844</v>
      </c>
      <c r="D2" s="245"/>
      <c r="E2" s="245"/>
      <c r="F2" s="245"/>
      <c r="G2" s="244" t="s">
        <v>61</v>
      </c>
      <c r="H2" s="244"/>
      <c r="I2" s="19">
        <v>500000</v>
      </c>
      <c r="J2" s="20" t="s">
        <v>62</v>
      </c>
      <c r="K2" s="214">
        <v>0.2</v>
      </c>
      <c r="N2" s="216"/>
      <c r="O2" s="215" t="s">
        <v>109</v>
      </c>
      <c r="U2" s="18"/>
      <c r="V2" s="18"/>
      <c r="W2" s="18"/>
      <c r="AU2" s="21">
        <f>I2-I2*K2</f>
        <v>400000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500000</v>
      </c>
      <c r="C5" s="204">
        <v>0.02</v>
      </c>
      <c r="D5" s="34" t="s">
        <v>81</v>
      </c>
      <c r="E5" s="35" t="s">
        <v>74</v>
      </c>
      <c r="F5" s="36" t="s">
        <v>103</v>
      </c>
      <c r="G5" s="36" t="s">
        <v>108</v>
      </c>
      <c r="H5" s="36" t="s">
        <v>102</v>
      </c>
      <c r="I5" s="37">
        <v>40196</v>
      </c>
      <c r="J5" s="38">
        <v>83.631</v>
      </c>
      <c r="K5" s="38">
        <v>85.024</v>
      </c>
      <c r="L5" s="39">
        <f aca="true" t="shared" si="0" ref="L5:L68">IF(H5="","",IF(H5="買い",J5+$C$3*VLOOKUP(E5,$X$5:$AA$23,3,FALSE),J5-$C$3*VLOOKUP(E5,$X$5:$AA$23,3,FALSE)))</f>
        <v>83.461</v>
      </c>
      <c r="M5" s="36" t="s">
        <v>108</v>
      </c>
      <c r="N5" s="40">
        <v>40218</v>
      </c>
      <c r="O5" s="41">
        <v>77.939</v>
      </c>
      <c r="P5" s="42" t="s">
        <v>105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139.30000000000007</v>
      </c>
      <c r="S5" s="45">
        <f aca="true" t="shared" si="3" ref="S5:S68">IF(K5="",0,ROUNDDOWN((B5*C5)/(VLOOKUP(E5,$X$5:$AA$23,4,FALSE)*R5),-3))</f>
        <v>7000</v>
      </c>
      <c r="T5" s="46">
        <f aca="true" t="shared" si="4" ref="T5:T68">IF(Q5="勝ち",IF(H5="買い",(O5-J5)/VLOOKUP(E5,$X$5:$AA$23,3,FALSE),(J5-O5)/VLOOKUP(E5,$X$5:$AA$23,3,FALSE)),0)</f>
        <v>569.2000000000007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39844.00000000005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/>
      <c r="C6" s="204"/>
      <c r="D6" s="34"/>
      <c r="E6" s="35"/>
      <c r="F6" s="36"/>
      <c r="G6" s="36"/>
      <c r="H6" s="36"/>
      <c r="I6" s="37"/>
      <c r="J6" s="38"/>
      <c r="K6" s="38"/>
      <c r="L6" s="39">
        <f t="shared" si="0"/>
      </c>
      <c r="M6" s="36"/>
      <c r="N6" s="37"/>
      <c r="O6" s="38"/>
      <c r="P6" s="53"/>
      <c r="Q6" s="43">
        <f t="shared" si="1"/>
      </c>
      <c r="R6" s="44">
        <f t="shared" si="2"/>
        <v>0</v>
      </c>
      <c r="S6" s="45">
        <f t="shared" si="3"/>
        <v>0</v>
      </c>
      <c r="T6" s="46">
        <f t="shared" si="4"/>
        <v>0</v>
      </c>
      <c r="U6" s="47">
        <f t="shared" si="5"/>
        <v>0</v>
      </c>
      <c r="V6" s="48">
        <f t="shared" si="6"/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/>
      <c r="C7" s="204"/>
      <c r="D7" s="34"/>
      <c r="E7" s="35"/>
      <c r="F7" s="36"/>
      <c r="G7" s="36"/>
      <c r="H7" s="36"/>
      <c r="I7" s="37"/>
      <c r="J7" s="38"/>
      <c r="K7" s="38"/>
      <c r="L7" s="39">
        <f t="shared" si="0"/>
      </c>
      <c r="M7" s="36"/>
      <c r="N7" s="37"/>
      <c r="O7" s="38"/>
      <c r="P7" s="53"/>
      <c r="Q7" s="43">
        <f t="shared" si="1"/>
      </c>
      <c r="R7" s="44">
        <f t="shared" si="2"/>
        <v>0</v>
      </c>
      <c r="S7" s="45">
        <f t="shared" si="3"/>
        <v>0</v>
      </c>
      <c r="T7" s="46">
        <f t="shared" si="4"/>
        <v>0</v>
      </c>
      <c r="U7" s="47">
        <f t="shared" si="5"/>
        <v>0</v>
      </c>
      <c r="V7" s="48">
        <f t="shared" si="6"/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/>
      <c r="C8" s="204"/>
      <c r="D8" s="34"/>
      <c r="E8" s="35"/>
      <c r="F8" s="36"/>
      <c r="G8" s="36"/>
      <c r="H8" s="36"/>
      <c r="I8" s="37"/>
      <c r="J8" s="38"/>
      <c r="K8" s="38"/>
      <c r="L8" s="39">
        <f t="shared" si="0"/>
      </c>
      <c r="M8" s="36"/>
      <c r="N8" s="37"/>
      <c r="O8" s="38"/>
      <c r="P8" s="53"/>
      <c r="Q8" s="43">
        <f t="shared" si="1"/>
      </c>
      <c r="R8" s="44">
        <f t="shared" si="2"/>
        <v>0</v>
      </c>
      <c r="S8" s="45">
        <f t="shared" si="3"/>
        <v>0</v>
      </c>
      <c r="T8" s="46">
        <f t="shared" si="4"/>
        <v>0</v>
      </c>
      <c r="U8" s="47">
        <f t="shared" si="5"/>
        <v>0</v>
      </c>
      <c r="V8" s="48">
        <f t="shared" si="6"/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/>
      <c r="C9" s="204"/>
      <c r="D9" s="34"/>
      <c r="E9" s="35"/>
      <c r="F9" s="36"/>
      <c r="G9" s="36"/>
      <c r="H9" s="36"/>
      <c r="I9" s="37"/>
      <c r="J9" s="38"/>
      <c r="K9" s="38"/>
      <c r="L9" s="39">
        <f t="shared" si="0"/>
      </c>
      <c r="M9" s="36"/>
      <c r="N9" s="37"/>
      <c r="O9" s="38"/>
      <c r="P9" s="53"/>
      <c r="Q9" s="43">
        <f t="shared" si="1"/>
      </c>
      <c r="R9" s="44">
        <f t="shared" si="2"/>
        <v>0</v>
      </c>
      <c r="S9" s="45">
        <f t="shared" si="3"/>
        <v>0</v>
      </c>
      <c r="T9" s="46">
        <f t="shared" si="4"/>
        <v>0</v>
      </c>
      <c r="U9" s="47">
        <f t="shared" si="5"/>
        <v>0</v>
      </c>
      <c r="V9" s="48">
        <f t="shared" si="6"/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/>
      <c r="C10" s="204"/>
      <c r="D10" s="34"/>
      <c r="E10" s="35"/>
      <c r="F10" s="36"/>
      <c r="G10" s="36"/>
      <c r="H10" s="36"/>
      <c r="I10" s="37"/>
      <c r="J10" s="38"/>
      <c r="K10" s="38"/>
      <c r="L10" s="39">
        <f t="shared" si="0"/>
      </c>
      <c r="M10" s="36"/>
      <c r="N10" s="37"/>
      <c r="O10" s="38"/>
      <c r="P10" s="53"/>
      <c r="Q10" s="43">
        <f t="shared" si="1"/>
      </c>
      <c r="R10" s="44">
        <f t="shared" si="2"/>
        <v>0</v>
      </c>
      <c r="S10" s="45">
        <f t="shared" si="3"/>
        <v>0</v>
      </c>
      <c r="T10" s="46">
        <f t="shared" si="4"/>
        <v>0</v>
      </c>
      <c r="U10" s="47">
        <f t="shared" si="5"/>
        <v>0</v>
      </c>
      <c r="V10" s="48">
        <f t="shared" si="6"/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/>
      <c r="C11" s="204"/>
      <c r="D11" s="34"/>
      <c r="E11" s="35"/>
      <c r="F11" s="36"/>
      <c r="G11" s="36"/>
      <c r="H11" s="36"/>
      <c r="I11" s="37"/>
      <c r="J11" s="38"/>
      <c r="K11" s="38"/>
      <c r="L11" s="39">
        <f t="shared" si="0"/>
      </c>
      <c r="M11" s="36"/>
      <c r="N11" s="37"/>
      <c r="O11" s="38"/>
      <c r="P11" s="53"/>
      <c r="Q11" s="43">
        <f t="shared" si="1"/>
      </c>
      <c r="R11" s="44">
        <f t="shared" si="2"/>
        <v>0</v>
      </c>
      <c r="S11" s="45">
        <f t="shared" si="3"/>
        <v>0</v>
      </c>
      <c r="T11" s="46">
        <f t="shared" si="4"/>
        <v>0</v>
      </c>
      <c r="U11" s="47">
        <f t="shared" si="5"/>
        <v>0</v>
      </c>
      <c r="V11" s="48">
        <f t="shared" si="6"/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/>
      <c r="C12" s="204"/>
      <c r="D12" s="34"/>
      <c r="E12" s="35"/>
      <c r="F12" s="36"/>
      <c r="G12" s="36"/>
      <c r="H12" s="36"/>
      <c r="I12" s="37"/>
      <c r="J12" s="38"/>
      <c r="K12" s="38"/>
      <c r="L12" s="39">
        <f t="shared" si="0"/>
      </c>
      <c r="M12" s="36"/>
      <c r="N12" s="37"/>
      <c r="O12" s="38"/>
      <c r="P12" s="53"/>
      <c r="Q12" s="43">
        <f t="shared" si="1"/>
      </c>
      <c r="R12" s="44">
        <f t="shared" si="2"/>
        <v>0</v>
      </c>
      <c r="S12" s="45">
        <f t="shared" si="3"/>
        <v>0</v>
      </c>
      <c r="T12" s="46">
        <f t="shared" si="4"/>
        <v>0</v>
      </c>
      <c r="U12" s="47">
        <f t="shared" si="5"/>
        <v>0</v>
      </c>
      <c r="V12" s="48">
        <f t="shared" si="6"/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/>
      <c r="C13" s="204"/>
      <c r="D13" s="34"/>
      <c r="E13" s="35"/>
      <c r="F13" s="36"/>
      <c r="G13" s="36"/>
      <c r="H13" s="36"/>
      <c r="I13" s="37"/>
      <c r="J13" s="38"/>
      <c r="K13" s="38"/>
      <c r="L13" s="39">
        <f t="shared" si="0"/>
      </c>
      <c r="M13" s="36"/>
      <c r="N13" s="37"/>
      <c r="O13" s="38"/>
      <c r="P13" s="53"/>
      <c r="Q13" s="43">
        <f t="shared" si="1"/>
      </c>
      <c r="R13" s="44">
        <f t="shared" si="2"/>
        <v>0</v>
      </c>
      <c r="S13" s="45">
        <f t="shared" si="3"/>
        <v>0</v>
      </c>
      <c r="T13" s="46">
        <f t="shared" si="4"/>
        <v>0</v>
      </c>
      <c r="U13" s="47">
        <f t="shared" si="5"/>
        <v>0</v>
      </c>
      <c r="V13" s="48">
        <f t="shared" si="6"/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/>
      <c r="C14" s="204"/>
      <c r="D14" s="34"/>
      <c r="E14" s="35"/>
      <c r="F14" s="36"/>
      <c r="G14" s="36"/>
      <c r="H14" s="36"/>
      <c r="I14" s="37"/>
      <c r="J14" s="38"/>
      <c r="K14" s="38"/>
      <c r="L14" s="39">
        <f t="shared" si="0"/>
      </c>
      <c r="M14" s="36"/>
      <c r="N14" s="37"/>
      <c r="O14" s="38"/>
      <c r="P14" s="53"/>
      <c r="Q14" s="43">
        <f t="shared" si="1"/>
      </c>
      <c r="R14" s="44">
        <f t="shared" si="2"/>
        <v>0</v>
      </c>
      <c r="S14" s="45">
        <f t="shared" si="3"/>
        <v>0</v>
      </c>
      <c r="T14" s="46">
        <f t="shared" si="4"/>
        <v>0</v>
      </c>
      <c r="U14" s="47">
        <f t="shared" si="5"/>
        <v>0</v>
      </c>
      <c r="V14" s="48">
        <f t="shared" si="6"/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/>
      <c r="C15" s="204"/>
      <c r="D15" s="34"/>
      <c r="E15" s="35"/>
      <c r="F15" s="36"/>
      <c r="G15" s="36"/>
      <c r="H15" s="36"/>
      <c r="I15" s="37"/>
      <c r="J15" s="38"/>
      <c r="K15" s="38"/>
      <c r="L15" s="39">
        <f t="shared" si="0"/>
      </c>
      <c r="M15" s="36"/>
      <c r="N15" s="37"/>
      <c r="O15" s="38"/>
      <c r="P15" s="53"/>
      <c r="Q15" s="43">
        <f t="shared" si="1"/>
      </c>
      <c r="R15" s="44">
        <f t="shared" si="2"/>
        <v>0</v>
      </c>
      <c r="S15" s="45">
        <f t="shared" si="3"/>
        <v>0</v>
      </c>
      <c r="T15" s="46">
        <f t="shared" si="4"/>
        <v>0</v>
      </c>
      <c r="U15" s="47">
        <f t="shared" si="5"/>
        <v>0</v>
      </c>
      <c r="V15" s="48">
        <f t="shared" si="6"/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/>
      <c r="C16" s="204"/>
      <c r="D16" s="34"/>
      <c r="E16" s="35"/>
      <c r="F16" s="36"/>
      <c r="G16" s="36"/>
      <c r="H16" s="36"/>
      <c r="I16" s="37"/>
      <c r="J16" s="38"/>
      <c r="K16" s="38"/>
      <c r="L16" s="39">
        <f t="shared" si="0"/>
      </c>
      <c r="M16" s="36"/>
      <c r="N16" s="37"/>
      <c r="O16" s="38"/>
      <c r="P16" s="53"/>
      <c r="Q16" s="43">
        <f t="shared" si="1"/>
      </c>
      <c r="R16" s="44">
        <f t="shared" si="2"/>
        <v>0</v>
      </c>
      <c r="S16" s="45">
        <f t="shared" si="3"/>
        <v>0</v>
      </c>
      <c r="T16" s="46">
        <f t="shared" si="4"/>
        <v>0</v>
      </c>
      <c r="U16" s="47">
        <f t="shared" si="5"/>
        <v>0</v>
      </c>
      <c r="V16" s="48">
        <f t="shared" si="6"/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/>
      <c r="C17" s="204"/>
      <c r="D17" s="34"/>
      <c r="E17" s="35"/>
      <c r="F17" s="36"/>
      <c r="G17" s="36"/>
      <c r="H17" s="36"/>
      <c r="I17" s="37"/>
      <c r="J17" s="38"/>
      <c r="K17" s="38"/>
      <c r="L17" s="39">
        <f t="shared" si="0"/>
      </c>
      <c r="M17" s="36"/>
      <c r="N17" s="37"/>
      <c r="O17" s="38"/>
      <c r="P17" s="53"/>
      <c r="Q17" s="43">
        <f t="shared" si="1"/>
      </c>
      <c r="R17" s="44">
        <f t="shared" si="2"/>
        <v>0</v>
      </c>
      <c r="S17" s="45">
        <f t="shared" si="3"/>
        <v>0</v>
      </c>
      <c r="T17" s="46">
        <f t="shared" si="4"/>
        <v>0</v>
      </c>
      <c r="U17" s="47">
        <f t="shared" si="5"/>
        <v>0</v>
      </c>
      <c r="V17" s="48">
        <f t="shared" si="6"/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/>
      <c r="C18" s="204"/>
      <c r="D18" s="34"/>
      <c r="E18" s="35"/>
      <c r="F18" s="36"/>
      <c r="G18" s="36"/>
      <c r="H18" s="36"/>
      <c r="I18" s="37"/>
      <c r="J18" s="38"/>
      <c r="K18" s="38"/>
      <c r="L18" s="39">
        <f t="shared" si="0"/>
      </c>
      <c r="M18" s="36"/>
      <c r="N18" s="37"/>
      <c r="O18" s="38"/>
      <c r="P18" s="53"/>
      <c r="Q18" s="43">
        <f t="shared" si="1"/>
      </c>
      <c r="R18" s="44">
        <f t="shared" si="2"/>
        <v>0</v>
      </c>
      <c r="S18" s="45">
        <f t="shared" si="3"/>
        <v>0</v>
      </c>
      <c r="T18" s="46">
        <f t="shared" si="4"/>
        <v>0</v>
      </c>
      <c r="U18" s="47">
        <f t="shared" si="5"/>
        <v>0</v>
      </c>
      <c r="V18" s="48">
        <f t="shared" si="6"/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/>
      <c r="C19" s="204"/>
      <c r="D19" s="34"/>
      <c r="E19" s="35"/>
      <c r="F19" s="36"/>
      <c r="G19" s="36"/>
      <c r="H19" s="36"/>
      <c r="I19" s="37"/>
      <c r="J19" s="38"/>
      <c r="K19" s="38"/>
      <c r="L19" s="39">
        <f t="shared" si="0"/>
      </c>
      <c r="M19" s="36"/>
      <c r="N19" s="37"/>
      <c r="O19" s="38"/>
      <c r="P19" s="53"/>
      <c r="Q19" s="43">
        <f t="shared" si="1"/>
      </c>
      <c r="R19" s="44">
        <f t="shared" si="2"/>
        <v>0</v>
      </c>
      <c r="S19" s="45">
        <f t="shared" si="3"/>
        <v>0</v>
      </c>
      <c r="T19" s="46">
        <f t="shared" si="4"/>
        <v>0</v>
      </c>
      <c r="U19" s="47">
        <f t="shared" si="5"/>
        <v>0</v>
      </c>
      <c r="V19" s="48">
        <f t="shared" si="6"/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/>
      <c r="C20" s="204"/>
      <c r="D20" s="34"/>
      <c r="E20" s="35"/>
      <c r="F20" s="36"/>
      <c r="G20" s="36"/>
      <c r="H20" s="36"/>
      <c r="I20" s="37"/>
      <c r="J20" s="38"/>
      <c r="K20" s="38"/>
      <c r="L20" s="39">
        <f t="shared" si="0"/>
      </c>
      <c r="M20" s="36"/>
      <c r="N20" s="37"/>
      <c r="O20" s="38"/>
      <c r="P20" s="53"/>
      <c r="Q20" s="43">
        <f t="shared" si="1"/>
      </c>
      <c r="R20" s="44">
        <f t="shared" si="2"/>
        <v>0</v>
      </c>
      <c r="S20" s="45">
        <f t="shared" si="3"/>
        <v>0</v>
      </c>
      <c r="T20" s="46">
        <f t="shared" si="4"/>
        <v>0</v>
      </c>
      <c r="U20" s="47">
        <f t="shared" si="5"/>
        <v>0</v>
      </c>
      <c r="V20" s="48">
        <f t="shared" si="6"/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/>
      <c r="C21" s="204"/>
      <c r="D21" s="34"/>
      <c r="E21" s="35"/>
      <c r="F21" s="36"/>
      <c r="G21" s="36"/>
      <c r="H21" s="36"/>
      <c r="I21" s="37"/>
      <c r="J21" s="38"/>
      <c r="K21" s="38"/>
      <c r="L21" s="39">
        <f t="shared" si="0"/>
      </c>
      <c r="M21" s="36"/>
      <c r="N21" s="37"/>
      <c r="O21" s="38"/>
      <c r="P21" s="53"/>
      <c r="Q21" s="43">
        <f t="shared" si="1"/>
      </c>
      <c r="R21" s="44">
        <f t="shared" si="2"/>
        <v>0</v>
      </c>
      <c r="S21" s="45">
        <f t="shared" si="3"/>
        <v>0</v>
      </c>
      <c r="T21" s="46">
        <f t="shared" si="4"/>
        <v>0</v>
      </c>
      <c r="U21" s="47">
        <f t="shared" si="5"/>
        <v>0</v>
      </c>
      <c r="V21" s="48">
        <f t="shared" si="6"/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/>
      <c r="C22" s="204"/>
      <c r="D22" s="34"/>
      <c r="E22" s="35"/>
      <c r="F22" s="36"/>
      <c r="G22" s="36"/>
      <c r="H22" s="36"/>
      <c r="I22" s="37"/>
      <c r="J22" s="38"/>
      <c r="K22" s="38"/>
      <c r="L22" s="39">
        <f t="shared" si="0"/>
      </c>
      <c r="M22" s="36"/>
      <c r="N22" s="37"/>
      <c r="O22" s="38"/>
      <c r="P22" s="53"/>
      <c r="Q22" s="43">
        <f t="shared" si="1"/>
      </c>
      <c r="R22" s="44">
        <f t="shared" si="2"/>
        <v>0</v>
      </c>
      <c r="S22" s="45">
        <f t="shared" si="3"/>
        <v>0</v>
      </c>
      <c r="T22" s="46">
        <f t="shared" si="4"/>
        <v>0</v>
      </c>
      <c r="U22" s="47">
        <f t="shared" si="5"/>
        <v>0</v>
      </c>
      <c r="V22" s="48">
        <f t="shared" si="6"/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/>
      <c r="C23" s="204"/>
      <c r="D23" s="34"/>
      <c r="E23" s="35"/>
      <c r="F23" s="36"/>
      <c r="G23" s="36"/>
      <c r="H23" s="36"/>
      <c r="I23" s="37"/>
      <c r="J23" s="38"/>
      <c r="K23" s="38"/>
      <c r="L23" s="39">
        <f t="shared" si="0"/>
      </c>
      <c r="M23" s="36"/>
      <c r="N23" s="37"/>
      <c r="O23" s="38"/>
      <c r="P23" s="53"/>
      <c r="Q23" s="43">
        <f t="shared" si="1"/>
      </c>
      <c r="R23" s="44">
        <f t="shared" si="2"/>
        <v>0</v>
      </c>
      <c r="S23" s="45">
        <f t="shared" si="3"/>
        <v>0</v>
      </c>
      <c r="T23" s="46">
        <f t="shared" si="4"/>
        <v>0</v>
      </c>
      <c r="U23" s="47">
        <f t="shared" si="5"/>
        <v>0</v>
      </c>
      <c r="V23" s="48">
        <f t="shared" si="6"/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/>
      <c r="C24" s="204"/>
      <c r="D24" s="34"/>
      <c r="E24" s="35"/>
      <c r="F24" s="36"/>
      <c r="G24" s="36"/>
      <c r="H24" s="36"/>
      <c r="I24" s="37"/>
      <c r="J24" s="38"/>
      <c r="K24" s="38"/>
      <c r="L24" s="39">
        <f t="shared" si="0"/>
      </c>
      <c r="M24" s="36"/>
      <c r="N24" s="37"/>
      <c r="O24" s="38"/>
      <c r="P24" s="53"/>
      <c r="Q24" s="43">
        <f t="shared" si="1"/>
      </c>
      <c r="R24" s="44">
        <f t="shared" si="2"/>
        <v>0</v>
      </c>
      <c r="S24" s="45">
        <f t="shared" si="3"/>
        <v>0</v>
      </c>
      <c r="T24" s="46">
        <f t="shared" si="4"/>
        <v>0</v>
      </c>
      <c r="U24" s="47">
        <f t="shared" si="5"/>
        <v>0</v>
      </c>
      <c r="V24" s="48">
        <f t="shared" si="6"/>
      </c>
    </row>
    <row r="25" spans="1:22" ht="13.5">
      <c r="A25" s="52">
        <v>21</v>
      </c>
      <c r="B25" s="226"/>
      <c r="C25" s="204"/>
      <c r="D25" s="34"/>
      <c r="E25" s="35"/>
      <c r="F25" s="36"/>
      <c r="G25" s="36"/>
      <c r="H25" s="36"/>
      <c r="I25" s="37"/>
      <c r="J25" s="38"/>
      <c r="K25" s="38"/>
      <c r="L25" s="39">
        <f t="shared" si="0"/>
      </c>
      <c r="M25" s="36"/>
      <c r="N25" s="37"/>
      <c r="O25" s="38"/>
      <c r="P25" s="53"/>
      <c r="Q25" s="43">
        <f t="shared" si="1"/>
      </c>
      <c r="R25" s="44">
        <f t="shared" si="2"/>
        <v>0</v>
      </c>
      <c r="S25" s="45">
        <f t="shared" si="3"/>
        <v>0</v>
      </c>
      <c r="T25" s="46">
        <f t="shared" si="4"/>
        <v>0</v>
      </c>
      <c r="U25" s="47">
        <f t="shared" si="5"/>
        <v>0</v>
      </c>
      <c r="V25" s="48">
        <f t="shared" si="6"/>
      </c>
    </row>
    <row r="26" spans="1:22" ht="13.5">
      <c r="A26" s="52">
        <v>22</v>
      </c>
      <c r="B26" s="226"/>
      <c r="C26" s="204"/>
      <c r="D26" s="34"/>
      <c r="E26" s="35"/>
      <c r="F26" s="36"/>
      <c r="G26" s="36"/>
      <c r="H26" s="36"/>
      <c r="I26" s="37"/>
      <c r="J26" s="38"/>
      <c r="K26" s="38"/>
      <c r="L26" s="39">
        <f t="shared" si="0"/>
      </c>
      <c r="M26" s="36"/>
      <c r="N26" s="37"/>
      <c r="O26" s="38"/>
      <c r="P26" s="53"/>
      <c r="Q26" s="43">
        <f t="shared" si="1"/>
      </c>
      <c r="R26" s="44">
        <f t="shared" si="2"/>
        <v>0</v>
      </c>
      <c r="S26" s="45">
        <f t="shared" si="3"/>
        <v>0</v>
      </c>
      <c r="T26" s="46">
        <f t="shared" si="4"/>
        <v>0</v>
      </c>
      <c r="U26" s="47">
        <f t="shared" si="5"/>
        <v>0</v>
      </c>
      <c r="V26" s="48">
        <f t="shared" si="6"/>
      </c>
    </row>
    <row r="27" spans="1:22" ht="13.5">
      <c r="A27" s="52">
        <v>23</v>
      </c>
      <c r="B27" s="226"/>
      <c r="C27" s="204"/>
      <c r="D27" s="34"/>
      <c r="E27" s="35"/>
      <c r="F27" s="36"/>
      <c r="G27" s="36"/>
      <c r="H27" s="36"/>
      <c r="I27" s="37"/>
      <c r="J27" s="38"/>
      <c r="K27" s="38"/>
      <c r="L27" s="39">
        <f t="shared" si="0"/>
      </c>
      <c r="M27" s="36"/>
      <c r="N27" s="37"/>
      <c r="O27" s="38"/>
      <c r="P27" s="53"/>
      <c r="Q27" s="43">
        <f t="shared" si="1"/>
      </c>
      <c r="R27" s="44">
        <f t="shared" si="2"/>
        <v>0</v>
      </c>
      <c r="S27" s="45">
        <f t="shared" si="3"/>
        <v>0</v>
      </c>
      <c r="T27" s="46">
        <f t="shared" si="4"/>
        <v>0</v>
      </c>
      <c r="U27" s="47">
        <f t="shared" si="5"/>
        <v>0</v>
      </c>
      <c r="V27" s="48">
        <f t="shared" si="6"/>
      </c>
    </row>
    <row r="28" spans="1:22" ht="13.5">
      <c r="A28" s="52">
        <v>24</v>
      </c>
      <c r="B28" s="226"/>
      <c r="C28" s="204"/>
      <c r="D28" s="34"/>
      <c r="E28" s="35"/>
      <c r="F28" s="36"/>
      <c r="G28" s="36"/>
      <c r="H28" s="36"/>
      <c r="I28" s="37"/>
      <c r="J28" s="38"/>
      <c r="K28" s="38"/>
      <c r="L28" s="39">
        <f t="shared" si="0"/>
      </c>
      <c r="M28" s="36"/>
      <c r="N28" s="37"/>
      <c r="O28" s="38"/>
      <c r="P28" s="53"/>
      <c r="Q28" s="43">
        <f t="shared" si="1"/>
      </c>
      <c r="R28" s="44">
        <f t="shared" si="2"/>
        <v>0</v>
      </c>
      <c r="S28" s="45">
        <f t="shared" si="3"/>
        <v>0</v>
      </c>
      <c r="T28" s="46">
        <f t="shared" si="4"/>
        <v>0</v>
      </c>
      <c r="U28" s="47">
        <f t="shared" si="5"/>
        <v>0</v>
      </c>
      <c r="V28" s="48">
        <f t="shared" si="6"/>
      </c>
    </row>
    <row r="29" spans="1:22" ht="13.5">
      <c r="A29" s="52">
        <v>25</v>
      </c>
      <c r="B29" s="226"/>
      <c r="C29" s="204"/>
      <c r="D29" s="34"/>
      <c r="E29" s="35"/>
      <c r="F29" s="36"/>
      <c r="G29" s="36"/>
      <c r="H29" s="36"/>
      <c r="I29" s="37"/>
      <c r="J29" s="38"/>
      <c r="K29" s="38"/>
      <c r="L29" s="39">
        <f t="shared" si="0"/>
      </c>
      <c r="M29" s="36"/>
      <c r="N29" s="37"/>
      <c r="O29" s="38"/>
      <c r="P29" s="53"/>
      <c r="Q29" s="43">
        <f t="shared" si="1"/>
      </c>
      <c r="R29" s="44">
        <f t="shared" si="2"/>
        <v>0</v>
      </c>
      <c r="S29" s="45">
        <f t="shared" si="3"/>
        <v>0</v>
      </c>
      <c r="T29" s="46">
        <f t="shared" si="4"/>
        <v>0</v>
      </c>
      <c r="U29" s="47">
        <f t="shared" si="5"/>
        <v>0</v>
      </c>
      <c r="V29" s="48">
        <f t="shared" si="6"/>
      </c>
    </row>
    <row r="30" spans="1:22" ht="13.5">
      <c r="A30" s="52">
        <v>26</v>
      </c>
      <c r="B30" s="226"/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569.2000000000007</v>
      </c>
      <c r="U125" s="250"/>
      <c r="V125" s="77">
        <f>SUM(V5:V124)</f>
        <v>39844.00000000005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111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0</v>
      </c>
      <c r="H130" s="259"/>
      <c r="J130" s="218" t="s">
        <v>112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</v>
      </c>
      <c r="H131" s="259"/>
      <c r="J131" s="218" t="s">
        <v>113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1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0</v>
      </c>
      <c r="H134" s="266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39844.00000000005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0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39844.00000000005</v>
      </c>
      <c r="H139" s="262"/>
      <c r="J139" s="218" t="s">
        <v>103</v>
      </c>
      <c r="K139" s="82">
        <f aca="true" t="shared" si="17" ref="K139:K144">COUNTIF($F$5:$F$124,J139)</f>
        <v>1</v>
      </c>
      <c r="L139" s="82">
        <f>_xlfn.COUNTIFS($H$5:$H$124,"買い",$F$5:$F$124,J139)</f>
        <v>0</v>
      </c>
      <c r="M139" s="83">
        <f>_xlfn.COUNTIFS($F$5:$F$124,J139,$H$5:$H$124,"売り")</f>
        <v>1</v>
      </c>
      <c r="N139" s="84">
        <f aca="true" t="shared" si="18" ref="N139:N144">SUMIF($F$5:$F$124,J139,$T$5:$T$124)+SUMIF($F$5:$F$124,J139,$U$5:$U$124)</f>
        <v>569.2000000000007</v>
      </c>
      <c r="O139" s="160">
        <f>_xlfn.COUNTIFS($Q$5:$Q$124,"勝ち",$F$5:$F$124,J139)/(COUNTIF($F$5:$F$124,J139)-_xlfn.COUNTIFS($F$5:$F$124,J139,$Q$5:$Q$124,"ドロー"))*100</f>
        <v>100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39844.00000000005</v>
      </c>
      <c r="H140" s="264"/>
      <c r="J140" s="218" t="s">
        <v>110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39844.00000000005</v>
      </c>
      <c r="H141" s="264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569.2000000000007</v>
      </c>
      <c r="H144" s="270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1</v>
      </c>
      <c r="H145" s="272"/>
      <c r="J145" s="85" t="s">
        <v>33</v>
      </c>
      <c r="K145" s="86">
        <f>SUM(K139:K144)</f>
        <v>1</v>
      </c>
      <c r="L145" s="86">
        <f>SUM(L139:L144)</f>
        <v>0</v>
      </c>
      <c r="M145" s="86">
        <f>SUM(M139:M144)</f>
        <v>1</v>
      </c>
      <c r="N145" s="80">
        <f>SUM(N139:N144)</f>
        <v>569.2000000000007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2:H142"/>
    <mergeCell ref="G143:H143"/>
    <mergeCell ref="G144:H144"/>
    <mergeCell ref="G145:H145"/>
    <mergeCell ref="G137:H137"/>
    <mergeCell ref="G138:H138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D4:E4"/>
    <mergeCell ref="T125:U125"/>
    <mergeCell ref="F128:H128"/>
    <mergeCell ref="J128:K128"/>
    <mergeCell ref="G129:H129"/>
    <mergeCell ref="G130:H130"/>
    <mergeCell ref="A2:B2"/>
    <mergeCell ref="C2:F2"/>
    <mergeCell ref="G2:H2"/>
    <mergeCell ref="A3:B3"/>
    <mergeCell ref="C3:F3"/>
    <mergeCell ref="G3:K3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44" t="s">
        <v>60</v>
      </c>
      <c r="B2" s="244"/>
      <c r="C2" s="245">
        <f>I2+V125</f>
        <v>3131693.0000000037</v>
      </c>
      <c r="D2" s="245"/>
      <c r="E2" s="245"/>
      <c r="F2" s="245"/>
      <c r="G2" s="244" t="s">
        <v>61</v>
      </c>
      <c r="H2" s="244"/>
      <c r="I2" s="19">
        <v>1000000</v>
      </c>
      <c r="J2" s="20" t="s">
        <v>62</v>
      </c>
      <c r="K2" s="214">
        <v>0.3</v>
      </c>
      <c r="N2" s="216"/>
      <c r="O2" s="215" t="s">
        <v>109</v>
      </c>
      <c r="U2" s="18"/>
      <c r="V2" s="18"/>
      <c r="W2" s="18"/>
      <c r="AU2" s="21">
        <f>I2-I2*K2</f>
        <v>700000</v>
      </c>
    </row>
    <row r="3" spans="1:23" ht="21" customHeight="1">
      <c r="A3" s="244" t="s">
        <v>63</v>
      </c>
      <c r="B3" s="244"/>
      <c r="C3" s="246">
        <v>17</v>
      </c>
      <c r="D3" s="246"/>
      <c r="E3" s="246"/>
      <c r="F3" s="246"/>
      <c r="G3" s="247">
        <f>IF(C2&lt;AU2,"警告！！資金不足！！","")</f>
      </c>
      <c r="H3" s="247"/>
      <c r="I3" s="247"/>
      <c r="J3" s="247"/>
      <c r="K3" s="247"/>
      <c r="P3" s="225" t="s">
        <v>114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48" t="s">
        <v>21</v>
      </c>
      <c r="E4" s="249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107</v>
      </c>
      <c r="K4" s="24" t="s">
        <v>106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117</v>
      </c>
      <c r="E5" s="35" t="s">
        <v>118</v>
      </c>
      <c r="F5" s="36" t="s">
        <v>103</v>
      </c>
      <c r="G5" s="36" t="s">
        <v>108</v>
      </c>
      <c r="H5" s="36" t="s">
        <v>115</v>
      </c>
      <c r="I5" s="37">
        <v>40925</v>
      </c>
      <c r="J5" s="38">
        <v>61.54</v>
      </c>
      <c r="K5" s="38">
        <v>60.843</v>
      </c>
      <c r="L5" s="39">
        <f aca="true" t="shared" si="0" ref="L5:L68">IF(H5="","",IF(H5="買い",J5+$C$3*VLOOKUP(E5,$X$5:$AA$23,3,FALSE),J5-$C$3*VLOOKUP(E5,$X$5:$AA$23,3,FALSE)))</f>
        <v>61.71</v>
      </c>
      <c r="M5" s="36" t="s">
        <v>108</v>
      </c>
      <c r="N5" s="40">
        <v>40983</v>
      </c>
      <c r="O5" s="231">
        <v>67.665</v>
      </c>
      <c r="P5" s="42" t="s">
        <v>120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69.69999999999956</v>
      </c>
      <c r="S5" s="45">
        <f aca="true" t="shared" si="3" ref="S5:S68">IF(K5="",0,ROUNDDOWN((B5*C5)/(VLOOKUP(E5,$X$5:$AA$23,4,FALSE)*R5),-3))</f>
        <v>43000</v>
      </c>
      <c r="T5" s="46">
        <f>IF(Q5="勝ち",IF(H5="買い",(O5-J5)/VLOOKUP(E5,$X$5:$AA$23,3,FALSE),(J5-O5)/VLOOKUP(E5,$X$5:$AA$23,3,FALSE)),0)</f>
        <v>612.5000000000007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263375.0000000003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1263375.0000000002</v>
      </c>
      <c r="C6" s="204">
        <v>0.03</v>
      </c>
      <c r="D6" s="34" t="s">
        <v>117</v>
      </c>
      <c r="E6" s="35" t="s">
        <v>118</v>
      </c>
      <c r="F6" s="36" t="s">
        <v>116</v>
      </c>
      <c r="G6" s="36" t="s">
        <v>108</v>
      </c>
      <c r="H6" s="36" t="s">
        <v>102</v>
      </c>
      <c r="I6" s="37">
        <v>41003</v>
      </c>
      <c r="J6" s="38">
        <v>66.769</v>
      </c>
      <c r="K6" s="38">
        <v>67.883</v>
      </c>
      <c r="L6" s="39">
        <f t="shared" si="0"/>
        <v>66.599</v>
      </c>
      <c r="M6" s="36" t="s">
        <v>108</v>
      </c>
      <c r="N6" s="37">
        <v>41059</v>
      </c>
      <c r="O6" s="38">
        <v>60.66</v>
      </c>
      <c r="P6" s="53" t="s">
        <v>121</v>
      </c>
      <c r="Q6" s="43" t="str">
        <f t="shared" si="1"/>
        <v>勝ち</v>
      </c>
      <c r="R6" s="44">
        <f t="shared" si="2"/>
        <v>111.39999999999901</v>
      </c>
      <c r="S6" s="45">
        <f t="shared" si="3"/>
        <v>34000</v>
      </c>
      <c r="T6" s="46">
        <f aca="true" t="shared" si="6" ref="T6:T68">IF(Q6="勝ち",IF(H6="買い",(O6-J6)/VLOOKUP(E6,$X$5:$AA$23,3,FALSE),(J6-O6)/VLOOKUP(E6,$X$5:$AA$23,3,FALSE)),0)</f>
        <v>610.9000000000009</v>
      </c>
      <c r="U6" s="47">
        <f t="shared" si="4"/>
        <v>0</v>
      </c>
      <c r="V6" s="48">
        <f t="shared" si="5"/>
        <v>207706.0000000003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1471081.0000000005</v>
      </c>
      <c r="C7" s="204">
        <v>0.03</v>
      </c>
      <c r="D7" s="34" t="s">
        <v>117</v>
      </c>
      <c r="E7" s="35" t="s">
        <v>118</v>
      </c>
      <c r="F7" s="36" t="s">
        <v>119</v>
      </c>
      <c r="G7" s="36" t="s">
        <v>108</v>
      </c>
      <c r="H7" s="36" t="s">
        <v>115</v>
      </c>
      <c r="I7" s="37">
        <v>41074</v>
      </c>
      <c r="J7" s="38">
        <v>63.713</v>
      </c>
      <c r="K7" s="38">
        <v>63.208</v>
      </c>
      <c r="L7" s="39">
        <f t="shared" si="0"/>
        <v>63.883</v>
      </c>
      <c r="M7" s="36" t="s">
        <v>108</v>
      </c>
      <c r="N7" s="37">
        <v>41082</v>
      </c>
      <c r="O7" s="38">
        <v>64.482</v>
      </c>
      <c r="P7" s="53" t="s">
        <v>120</v>
      </c>
      <c r="Q7" s="43" t="str">
        <f t="shared" si="1"/>
        <v>勝ち</v>
      </c>
      <c r="R7" s="44">
        <f t="shared" si="2"/>
        <v>50.500000000000256</v>
      </c>
      <c r="S7" s="45">
        <f t="shared" si="3"/>
        <v>87000</v>
      </c>
      <c r="T7" s="46">
        <f t="shared" si="6"/>
        <v>76.89999999999984</v>
      </c>
      <c r="U7" s="47">
        <f t="shared" si="4"/>
        <v>0</v>
      </c>
      <c r="V7" s="48">
        <f t="shared" si="5"/>
        <v>66902.99999999985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1537984.0000000002</v>
      </c>
      <c r="C8" s="204">
        <v>0.03</v>
      </c>
      <c r="D8" s="34" t="s">
        <v>117</v>
      </c>
      <c r="E8" s="35" t="s">
        <v>118</v>
      </c>
      <c r="F8" s="36" t="s">
        <v>119</v>
      </c>
      <c r="G8" s="36" t="s">
        <v>108</v>
      </c>
      <c r="H8" s="36" t="s">
        <v>115</v>
      </c>
      <c r="I8" s="37">
        <v>41163</v>
      </c>
      <c r="J8" s="38">
        <v>62.144</v>
      </c>
      <c r="K8" s="38">
        <v>61.257</v>
      </c>
      <c r="L8" s="39">
        <f t="shared" si="0"/>
        <v>62.314</v>
      </c>
      <c r="M8" s="36" t="s">
        <v>108</v>
      </c>
      <c r="N8" s="37">
        <v>41184</v>
      </c>
      <c r="O8" s="38">
        <v>62.966</v>
      </c>
      <c r="P8" s="53" t="s">
        <v>120</v>
      </c>
      <c r="Q8" s="43" t="str">
        <f t="shared" si="1"/>
        <v>勝ち</v>
      </c>
      <c r="R8" s="44">
        <f t="shared" si="2"/>
        <v>88.70000000000005</v>
      </c>
      <c r="S8" s="45">
        <f t="shared" si="3"/>
        <v>52000</v>
      </c>
      <c r="T8" s="46">
        <f t="shared" si="6"/>
        <v>82.20000000000027</v>
      </c>
      <c r="U8" s="47">
        <f t="shared" si="4"/>
        <v>0</v>
      </c>
      <c r="V8" s="48">
        <f t="shared" si="5"/>
        <v>42744.000000000146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1580728.0000000005</v>
      </c>
      <c r="C9" s="204">
        <v>0.03</v>
      </c>
      <c r="D9" s="34" t="s">
        <v>117</v>
      </c>
      <c r="E9" s="35" t="s">
        <v>118</v>
      </c>
      <c r="F9" s="36" t="s">
        <v>119</v>
      </c>
      <c r="G9" s="36" t="s">
        <v>108</v>
      </c>
      <c r="H9" s="36" t="s">
        <v>115</v>
      </c>
      <c r="I9" s="37">
        <v>41199</v>
      </c>
      <c r="J9" s="38">
        <v>64.96</v>
      </c>
      <c r="K9" s="38">
        <v>64.193</v>
      </c>
      <c r="L9" s="39">
        <f t="shared" si="0"/>
        <v>65.13</v>
      </c>
      <c r="M9" s="36" t="s">
        <v>108</v>
      </c>
      <c r="N9" s="37">
        <v>41248</v>
      </c>
      <c r="O9" s="38">
        <v>67.424</v>
      </c>
      <c r="P9" s="53" t="s">
        <v>120</v>
      </c>
      <c r="Q9" s="43" t="str">
        <f t="shared" si="1"/>
        <v>勝ち</v>
      </c>
      <c r="R9" s="44">
        <f t="shared" si="2"/>
        <v>76.69999999999959</v>
      </c>
      <c r="S9" s="45">
        <f t="shared" si="3"/>
        <v>61000</v>
      </c>
      <c r="T9" s="46">
        <f t="shared" si="6"/>
        <v>246.40000000000128</v>
      </c>
      <c r="U9" s="47">
        <f t="shared" si="4"/>
        <v>0</v>
      </c>
      <c r="V9" s="48">
        <f t="shared" si="5"/>
        <v>150304.0000000008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1731032.0000000012</v>
      </c>
      <c r="C10" s="204">
        <v>0.03</v>
      </c>
      <c r="D10" s="34" t="s">
        <v>117</v>
      </c>
      <c r="E10" s="35" t="s">
        <v>118</v>
      </c>
      <c r="F10" s="36" t="s">
        <v>119</v>
      </c>
      <c r="G10" s="36" t="s">
        <v>108</v>
      </c>
      <c r="H10" s="36" t="s">
        <v>115</v>
      </c>
      <c r="I10" s="37">
        <v>41274</v>
      </c>
      <c r="J10" s="38">
        <v>71.585</v>
      </c>
      <c r="K10" s="38">
        <v>70.171</v>
      </c>
      <c r="L10" s="39">
        <f t="shared" si="0"/>
        <v>71.755</v>
      </c>
      <c r="M10" s="36" t="s">
        <v>108</v>
      </c>
      <c r="N10" s="37">
        <v>41316</v>
      </c>
      <c r="O10" s="38">
        <v>76.974</v>
      </c>
      <c r="P10" s="53" t="s">
        <v>120</v>
      </c>
      <c r="Q10" s="43" t="str">
        <f t="shared" si="1"/>
        <v>勝ち</v>
      </c>
      <c r="R10" s="44">
        <f t="shared" si="2"/>
        <v>141.39999999999873</v>
      </c>
      <c r="S10" s="45">
        <f t="shared" si="3"/>
        <v>36000</v>
      </c>
      <c r="T10" s="46">
        <f t="shared" si="6"/>
        <v>538.900000000001</v>
      </c>
      <c r="U10" s="47">
        <f t="shared" si="4"/>
        <v>0</v>
      </c>
      <c r="V10" s="48">
        <f t="shared" si="5"/>
        <v>194004.00000000035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1925036.0000000014</v>
      </c>
      <c r="C11" s="204">
        <v>0.03</v>
      </c>
      <c r="D11" s="34" t="s">
        <v>117</v>
      </c>
      <c r="E11" s="35" t="s">
        <v>118</v>
      </c>
      <c r="F11" s="36" t="s">
        <v>119</v>
      </c>
      <c r="G11" s="36" t="s">
        <v>108</v>
      </c>
      <c r="H11" s="36" t="s">
        <v>115</v>
      </c>
      <c r="I11" s="37">
        <v>41388</v>
      </c>
      <c r="J11" s="38">
        <v>84.469</v>
      </c>
      <c r="K11" s="38">
        <v>83.393</v>
      </c>
      <c r="L11" s="39">
        <f t="shared" si="0"/>
        <v>84.639</v>
      </c>
      <c r="M11" s="36" t="s">
        <v>108</v>
      </c>
      <c r="N11" s="37">
        <v>41390</v>
      </c>
      <c r="O11" s="38">
        <v>83.642</v>
      </c>
      <c r="P11" s="53" t="s">
        <v>122</v>
      </c>
      <c r="Q11" s="43" t="str">
        <f t="shared" si="1"/>
        <v>負け</v>
      </c>
      <c r="R11" s="44">
        <f t="shared" si="2"/>
        <v>107.59999999999934</v>
      </c>
      <c r="S11" s="45">
        <f t="shared" si="3"/>
        <v>53000</v>
      </c>
      <c r="T11" s="46">
        <f t="shared" si="6"/>
        <v>0</v>
      </c>
      <c r="U11" s="47">
        <f t="shared" si="4"/>
        <v>-82.69999999999982</v>
      </c>
      <c r="V11" s="48">
        <f t="shared" si="5"/>
        <v>-43830.999999999905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1881205.0000000014</v>
      </c>
      <c r="C12" s="204">
        <v>0.03</v>
      </c>
      <c r="D12" s="34" t="s">
        <v>117</v>
      </c>
      <c r="E12" s="35" t="s">
        <v>118</v>
      </c>
      <c r="F12" s="36" t="s">
        <v>119</v>
      </c>
      <c r="G12" s="36" t="s">
        <v>108</v>
      </c>
      <c r="H12" s="36" t="s">
        <v>102</v>
      </c>
      <c r="I12" s="37">
        <v>41416</v>
      </c>
      <c r="J12" s="38">
        <v>82.784</v>
      </c>
      <c r="K12" s="38">
        <v>84.343</v>
      </c>
      <c r="L12" s="39">
        <f t="shared" si="0"/>
        <v>82.614</v>
      </c>
      <c r="M12" s="36" t="s">
        <v>108</v>
      </c>
      <c r="N12" s="37">
        <v>41439</v>
      </c>
      <c r="O12" s="38">
        <v>77.636</v>
      </c>
      <c r="P12" s="53" t="s">
        <v>121</v>
      </c>
      <c r="Q12" s="43" t="str">
        <f t="shared" si="1"/>
        <v>勝ち</v>
      </c>
      <c r="R12" s="44">
        <f t="shared" si="2"/>
        <v>155.89999999999975</v>
      </c>
      <c r="S12" s="45">
        <f t="shared" si="3"/>
        <v>36000</v>
      </c>
      <c r="T12" s="46">
        <f t="shared" si="6"/>
        <v>514.800000000001</v>
      </c>
      <c r="U12" s="47">
        <f t="shared" si="4"/>
        <v>0</v>
      </c>
      <c r="V12" s="48">
        <f t="shared" si="5"/>
        <v>185328.00000000035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2066533.0000000019</v>
      </c>
      <c r="C13" s="204">
        <v>0.03</v>
      </c>
      <c r="D13" s="34" t="s">
        <v>117</v>
      </c>
      <c r="E13" s="35" t="s">
        <v>118</v>
      </c>
      <c r="F13" s="36" t="s">
        <v>119</v>
      </c>
      <c r="G13" s="36" t="s">
        <v>108</v>
      </c>
      <c r="H13" s="36" t="s">
        <v>115</v>
      </c>
      <c r="I13" s="275">
        <v>41459</v>
      </c>
      <c r="J13" s="38">
        <v>78.607</v>
      </c>
      <c r="K13" s="38">
        <v>77.369</v>
      </c>
      <c r="L13" s="39">
        <f t="shared" si="0"/>
        <v>78.777</v>
      </c>
      <c r="M13" s="36" t="s">
        <v>108</v>
      </c>
      <c r="N13" s="37">
        <v>41460</v>
      </c>
      <c r="O13" s="38">
        <v>76.666</v>
      </c>
      <c r="P13" s="53" t="s">
        <v>122</v>
      </c>
      <c r="Q13" s="43" t="str">
        <f t="shared" si="1"/>
        <v>負け</v>
      </c>
      <c r="R13" s="44">
        <f t="shared" si="2"/>
        <v>123.79999999999995</v>
      </c>
      <c r="S13" s="45">
        <f t="shared" si="3"/>
        <v>50000</v>
      </c>
      <c r="T13" s="46">
        <f t="shared" si="6"/>
        <v>0</v>
      </c>
      <c r="U13" s="47">
        <f t="shared" si="4"/>
        <v>-194.10000000000025</v>
      </c>
      <c r="V13" s="48">
        <f t="shared" si="5"/>
        <v>-97050.00000000013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1969483.0000000016</v>
      </c>
      <c r="C14" s="204">
        <v>0.03</v>
      </c>
      <c r="D14" s="34" t="s">
        <v>117</v>
      </c>
      <c r="E14" s="35" t="s">
        <v>118</v>
      </c>
      <c r="F14" s="36" t="s">
        <v>119</v>
      </c>
      <c r="G14" s="36" t="s">
        <v>108</v>
      </c>
      <c r="H14" s="36" t="s">
        <v>115</v>
      </c>
      <c r="I14" s="37">
        <v>41524</v>
      </c>
      <c r="J14" s="38">
        <v>81.861</v>
      </c>
      <c r="K14" s="38">
        <v>80.864</v>
      </c>
      <c r="L14" s="39">
        <f t="shared" si="0"/>
        <v>82.031</v>
      </c>
      <c r="M14" s="36" t="s">
        <v>108</v>
      </c>
      <c r="N14" s="37">
        <v>41526</v>
      </c>
      <c r="O14" s="38">
        <v>80.616</v>
      </c>
      <c r="P14" s="53" t="s">
        <v>122</v>
      </c>
      <c r="Q14" s="43" t="str">
        <f t="shared" si="1"/>
        <v>負け</v>
      </c>
      <c r="R14" s="44">
        <f t="shared" si="2"/>
        <v>99.69999999999999</v>
      </c>
      <c r="S14" s="45">
        <f t="shared" si="3"/>
        <v>59000</v>
      </c>
      <c r="T14" s="46">
        <f t="shared" si="6"/>
        <v>0</v>
      </c>
      <c r="U14" s="47">
        <f t="shared" si="4"/>
        <v>-124.50000000000045</v>
      </c>
      <c r="V14" s="48">
        <f t="shared" si="5"/>
        <v>-73455.00000000026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1896028.0000000014</v>
      </c>
      <c r="C15" s="204">
        <v>0.03</v>
      </c>
      <c r="D15" s="34" t="s">
        <v>117</v>
      </c>
      <c r="E15" s="35" t="s">
        <v>118</v>
      </c>
      <c r="F15" s="36" t="s">
        <v>119</v>
      </c>
      <c r="G15" s="36" t="s">
        <v>108</v>
      </c>
      <c r="H15" s="36" t="s">
        <v>115</v>
      </c>
      <c r="I15" s="37">
        <v>41607</v>
      </c>
      <c r="J15" s="38">
        <v>83.587</v>
      </c>
      <c r="K15" s="38">
        <v>82.788</v>
      </c>
      <c r="L15" s="39">
        <f t="shared" si="0"/>
        <v>83.757</v>
      </c>
      <c r="M15" s="36" t="s">
        <v>108</v>
      </c>
      <c r="N15" s="37">
        <v>41652</v>
      </c>
      <c r="O15" s="38">
        <v>85.35</v>
      </c>
      <c r="P15" s="53" t="s">
        <v>120</v>
      </c>
      <c r="Q15" s="43" t="str">
        <f t="shared" si="1"/>
        <v>勝ち</v>
      </c>
      <c r="R15" s="44">
        <f t="shared" si="2"/>
        <v>79.90000000000066</v>
      </c>
      <c r="S15" s="45">
        <f t="shared" si="3"/>
        <v>71000</v>
      </c>
      <c r="T15" s="46">
        <f t="shared" si="6"/>
        <v>176.2999999999991</v>
      </c>
      <c r="U15" s="47">
        <f t="shared" si="4"/>
        <v>0</v>
      </c>
      <c r="V15" s="48">
        <f t="shared" si="5"/>
        <v>125172.99999999936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2021201.0000000007</v>
      </c>
      <c r="C16" s="204">
        <v>0.03</v>
      </c>
      <c r="D16" s="34" t="s">
        <v>117</v>
      </c>
      <c r="E16" s="35" t="s">
        <v>118</v>
      </c>
      <c r="F16" s="36" t="s">
        <v>119</v>
      </c>
      <c r="G16" s="36" t="s">
        <v>108</v>
      </c>
      <c r="H16" s="36" t="s">
        <v>102</v>
      </c>
      <c r="I16" s="37">
        <v>41662</v>
      </c>
      <c r="J16" s="38">
        <v>85.365</v>
      </c>
      <c r="K16" s="38">
        <v>86.916</v>
      </c>
      <c r="L16" s="39">
        <f t="shared" si="0"/>
        <v>85.195</v>
      </c>
      <c r="M16" s="36" t="s">
        <v>108</v>
      </c>
      <c r="N16" s="37">
        <v>41664</v>
      </c>
      <c r="O16" s="38">
        <v>85.697</v>
      </c>
      <c r="P16" s="53" t="s">
        <v>122</v>
      </c>
      <c r="Q16" s="43" t="str">
        <f t="shared" si="1"/>
        <v>負け</v>
      </c>
      <c r="R16" s="44">
        <f t="shared" si="2"/>
        <v>155.1000000000002</v>
      </c>
      <c r="S16" s="45">
        <f t="shared" si="3"/>
        <v>39000</v>
      </c>
      <c r="T16" s="46">
        <f t="shared" si="6"/>
        <v>0</v>
      </c>
      <c r="U16" s="47">
        <f t="shared" si="4"/>
        <v>-33.200000000000784</v>
      </c>
      <c r="V16" s="48">
        <f t="shared" si="5"/>
        <v>-12948.000000000306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2008253.0000000005</v>
      </c>
      <c r="C17" s="204">
        <v>0.03</v>
      </c>
      <c r="D17" s="34" t="s">
        <v>117</v>
      </c>
      <c r="E17" s="35" t="s">
        <v>118</v>
      </c>
      <c r="F17" s="36" t="s">
        <v>119</v>
      </c>
      <c r="G17" s="36" t="s">
        <v>108</v>
      </c>
      <c r="H17" s="36" t="s">
        <v>115</v>
      </c>
      <c r="I17" s="37">
        <v>41687</v>
      </c>
      <c r="J17" s="38">
        <v>85.682</v>
      </c>
      <c r="K17" s="38">
        <v>84.79</v>
      </c>
      <c r="L17" s="39">
        <f t="shared" si="0"/>
        <v>85.852</v>
      </c>
      <c r="M17" s="36" t="s">
        <v>108</v>
      </c>
      <c r="N17" s="37">
        <v>41722</v>
      </c>
      <c r="O17" s="38">
        <v>87.122</v>
      </c>
      <c r="P17" s="53" t="s">
        <v>120</v>
      </c>
      <c r="Q17" s="43" t="str">
        <f t="shared" si="1"/>
        <v>勝ち</v>
      </c>
      <c r="R17" s="44">
        <f t="shared" si="2"/>
        <v>89.19999999999959</v>
      </c>
      <c r="S17" s="45">
        <f t="shared" si="3"/>
        <v>67000</v>
      </c>
      <c r="T17" s="46">
        <f t="shared" si="6"/>
        <v>143.99999999999977</v>
      </c>
      <c r="U17" s="47">
        <f t="shared" si="4"/>
        <v>0</v>
      </c>
      <c r="V17" s="48">
        <f t="shared" si="5"/>
        <v>96479.99999999985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2104733.0000000005</v>
      </c>
      <c r="C18" s="204">
        <v>0.03</v>
      </c>
      <c r="D18" s="34" t="s">
        <v>117</v>
      </c>
      <c r="E18" s="35" t="s">
        <v>118</v>
      </c>
      <c r="F18" s="36" t="s">
        <v>119</v>
      </c>
      <c r="G18" s="36" t="s">
        <v>108</v>
      </c>
      <c r="H18" s="36" t="s">
        <v>102</v>
      </c>
      <c r="I18" s="37">
        <v>41774</v>
      </c>
      <c r="J18" s="38">
        <v>87.456</v>
      </c>
      <c r="K18" s="38">
        <v>88.643</v>
      </c>
      <c r="L18" s="39">
        <f t="shared" si="0"/>
        <v>87.286</v>
      </c>
      <c r="M18" s="36" t="s">
        <v>108</v>
      </c>
      <c r="N18" s="37">
        <v>41784</v>
      </c>
      <c r="O18" s="38">
        <v>87.377</v>
      </c>
      <c r="P18" s="53" t="s">
        <v>121</v>
      </c>
      <c r="Q18" s="43" t="str">
        <f t="shared" si="1"/>
        <v>勝ち</v>
      </c>
      <c r="R18" s="44">
        <f t="shared" si="2"/>
        <v>118.69999999999976</v>
      </c>
      <c r="S18" s="45">
        <f t="shared" si="3"/>
        <v>53000</v>
      </c>
      <c r="T18" s="46">
        <f t="shared" si="6"/>
        <v>7.900000000000773</v>
      </c>
      <c r="U18" s="47">
        <f t="shared" si="4"/>
        <v>0</v>
      </c>
      <c r="V18" s="48">
        <f t="shared" si="5"/>
        <v>4187.000000000409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2108920.000000001</v>
      </c>
      <c r="C19" s="204">
        <v>0.03</v>
      </c>
      <c r="D19" s="34" t="s">
        <v>117</v>
      </c>
      <c r="E19" s="35" t="s">
        <v>118</v>
      </c>
      <c r="F19" s="36" t="s">
        <v>119</v>
      </c>
      <c r="G19" s="36" t="s">
        <v>108</v>
      </c>
      <c r="H19" s="36" t="s">
        <v>115</v>
      </c>
      <c r="I19" s="37">
        <v>41802</v>
      </c>
      <c r="J19" s="38">
        <v>88.654</v>
      </c>
      <c r="K19" s="38">
        <v>86.925</v>
      </c>
      <c r="L19" s="39">
        <f t="shared" si="0"/>
        <v>88.824</v>
      </c>
      <c r="M19" s="36" t="s">
        <v>108</v>
      </c>
      <c r="N19" s="37">
        <v>41815</v>
      </c>
      <c r="O19" s="38">
        <v>88.248</v>
      </c>
      <c r="P19" s="53" t="s">
        <v>122</v>
      </c>
      <c r="Q19" s="43" t="str">
        <f t="shared" si="1"/>
        <v>負け</v>
      </c>
      <c r="R19" s="44">
        <f t="shared" si="2"/>
        <v>172.89999999999992</v>
      </c>
      <c r="S19" s="45">
        <f t="shared" si="3"/>
        <v>36000</v>
      </c>
      <c r="T19" s="46">
        <f t="shared" si="6"/>
        <v>0</v>
      </c>
      <c r="U19" s="47">
        <f t="shared" si="4"/>
        <v>-40.59999999999917</v>
      </c>
      <c r="V19" s="48">
        <f t="shared" si="5"/>
        <v>-14615.999999999702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2094304.0000000012</v>
      </c>
      <c r="C20" s="204">
        <v>0.03</v>
      </c>
      <c r="D20" s="34" t="s">
        <v>117</v>
      </c>
      <c r="E20" s="35" t="s">
        <v>118</v>
      </c>
      <c r="F20" s="36" t="s">
        <v>119</v>
      </c>
      <c r="G20" s="36" t="s">
        <v>108</v>
      </c>
      <c r="H20" s="36" t="s">
        <v>115</v>
      </c>
      <c r="I20" s="37">
        <v>41821</v>
      </c>
      <c r="J20" s="38">
        <v>89.219</v>
      </c>
      <c r="K20" s="38">
        <v>88.699</v>
      </c>
      <c r="L20" s="39">
        <f t="shared" si="0"/>
        <v>89.389</v>
      </c>
      <c r="M20" s="36" t="s">
        <v>108</v>
      </c>
      <c r="N20" s="37">
        <v>41834</v>
      </c>
      <c r="O20" s="38">
        <v>89.229</v>
      </c>
      <c r="P20" s="53" t="s">
        <v>120</v>
      </c>
      <c r="Q20" s="43" t="str">
        <f t="shared" si="1"/>
        <v>勝ち</v>
      </c>
      <c r="R20" s="44">
        <f t="shared" si="2"/>
        <v>51.9999999999996</v>
      </c>
      <c r="S20" s="45">
        <f t="shared" si="3"/>
        <v>120000</v>
      </c>
      <c r="T20" s="46">
        <f t="shared" si="6"/>
        <v>1.0000000000005116</v>
      </c>
      <c r="U20" s="47">
        <f t="shared" si="4"/>
        <v>0</v>
      </c>
      <c r="V20" s="48">
        <f t="shared" si="5"/>
        <v>1200.000000000614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2095504.0000000019</v>
      </c>
      <c r="C21" s="204">
        <v>0.03</v>
      </c>
      <c r="D21" s="34" t="s">
        <v>117</v>
      </c>
      <c r="E21" s="35" t="s">
        <v>118</v>
      </c>
      <c r="F21" s="36" t="s">
        <v>119</v>
      </c>
      <c r="G21" s="36" t="s">
        <v>108</v>
      </c>
      <c r="H21" s="36" t="s">
        <v>102</v>
      </c>
      <c r="I21" s="37">
        <v>41844</v>
      </c>
      <c r="J21" s="38">
        <v>68.907</v>
      </c>
      <c r="K21" s="38">
        <v>88.2235</v>
      </c>
      <c r="L21" s="39">
        <f t="shared" si="0"/>
        <v>68.737</v>
      </c>
      <c r="M21" s="36" t="s">
        <v>108</v>
      </c>
      <c r="N21" s="37">
        <v>41870</v>
      </c>
      <c r="O21" s="38">
        <v>86.993</v>
      </c>
      <c r="P21" s="53" t="s">
        <v>122</v>
      </c>
      <c r="Q21" s="43" t="str">
        <f t="shared" si="1"/>
        <v>負け</v>
      </c>
      <c r="R21" s="44">
        <f t="shared" si="2"/>
        <v>1931.6500000000005</v>
      </c>
      <c r="S21" s="45">
        <f t="shared" si="3"/>
        <v>3000</v>
      </c>
      <c r="T21" s="46">
        <f t="shared" si="6"/>
        <v>0</v>
      </c>
      <c r="U21" s="47">
        <f t="shared" si="4"/>
        <v>-1808.6</v>
      </c>
      <c r="V21" s="48">
        <f t="shared" si="5"/>
        <v>-54258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2041246.0000000019</v>
      </c>
      <c r="C22" s="204">
        <v>0.03</v>
      </c>
      <c r="D22" s="34" t="s">
        <v>117</v>
      </c>
      <c r="E22" s="35" t="s">
        <v>118</v>
      </c>
      <c r="F22" s="36" t="s">
        <v>119</v>
      </c>
      <c r="G22" s="36" t="s">
        <v>108</v>
      </c>
      <c r="H22" s="36" t="s">
        <v>115</v>
      </c>
      <c r="I22" s="37">
        <v>41880</v>
      </c>
      <c r="J22" s="38">
        <v>87.173</v>
      </c>
      <c r="K22" s="38">
        <v>86.668</v>
      </c>
      <c r="L22" s="39">
        <f t="shared" si="0"/>
        <v>87.343</v>
      </c>
      <c r="M22" s="36" t="s">
        <v>108</v>
      </c>
      <c r="N22" s="37">
        <v>41900</v>
      </c>
      <c r="O22" s="38">
        <v>87.605</v>
      </c>
      <c r="P22" s="53" t="s">
        <v>120</v>
      </c>
      <c r="Q22" s="43" t="str">
        <f t="shared" si="1"/>
        <v>勝ち</v>
      </c>
      <c r="R22" s="44">
        <f t="shared" si="2"/>
        <v>50.499999999999545</v>
      </c>
      <c r="S22" s="45">
        <f t="shared" si="3"/>
        <v>121000</v>
      </c>
      <c r="T22" s="46">
        <f t="shared" si="6"/>
        <v>43.200000000000216</v>
      </c>
      <c r="U22" s="47">
        <f t="shared" si="4"/>
        <v>0</v>
      </c>
      <c r="V22" s="48">
        <f t="shared" si="5"/>
        <v>52272.00000000026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2093518.000000002</v>
      </c>
      <c r="C23" s="204">
        <v>0.03</v>
      </c>
      <c r="D23" s="34" t="s">
        <v>117</v>
      </c>
      <c r="E23" s="35" t="s">
        <v>118</v>
      </c>
      <c r="F23" s="36" t="s">
        <v>119</v>
      </c>
      <c r="G23" s="36" t="s">
        <v>108</v>
      </c>
      <c r="H23" s="36" t="s">
        <v>102</v>
      </c>
      <c r="I23" s="37">
        <v>41907</v>
      </c>
      <c r="J23" s="38">
        <v>86.031</v>
      </c>
      <c r="K23" s="38">
        <v>88.14</v>
      </c>
      <c r="L23" s="39">
        <f t="shared" si="0"/>
        <v>85.861</v>
      </c>
      <c r="M23" s="36" t="s">
        <v>108</v>
      </c>
      <c r="N23" s="37">
        <v>41926</v>
      </c>
      <c r="O23" s="38">
        <v>84.896</v>
      </c>
      <c r="P23" s="53" t="s">
        <v>121</v>
      </c>
      <c r="Q23" s="43" t="str">
        <f t="shared" si="1"/>
        <v>勝ち</v>
      </c>
      <c r="R23" s="44">
        <f t="shared" si="2"/>
        <v>210.89999999999947</v>
      </c>
      <c r="S23" s="45">
        <f t="shared" si="3"/>
        <v>29000</v>
      </c>
      <c r="T23" s="46">
        <f t="shared" si="6"/>
        <v>113.50000000000051</v>
      </c>
      <c r="U23" s="47">
        <f t="shared" si="4"/>
        <v>0</v>
      </c>
      <c r="V23" s="48">
        <f t="shared" si="5"/>
        <v>32915.000000000146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2126433.0000000023</v>
      </c>
      <c r="C24" s="204">
        <v>0.03</v>
      </c>
      <c r="D24" s="34" t="s">
        <v>117</v>
      </c>
      <c r="E24" s="35" t="s">
        <v>118</v>
      </c>
      <c r="F24" s="36" t="s">
        <v>119</v>
      </c>
      <c r="G24" s="36" t="s">
        <v>108</v>
      </c>
      <c r="H24" s="36" t="s">
        <v>115</v>
      </c>
      <c r="I24" s="37">
        <v>41943</v>
      </c>
      <c r="J24" s="38">
        <v>85.881</v>
      </c>
      <c r="K24" s="38">
        <v>84.636</v>
      </c>
      <c r="L24" s="39">
        <f t="shared" si="0"/>
        <v>86.051</v>
      </c>
      <c r="M24" s="36" t="s">
        <v>108</v>
      </c>
      <c r="N24" s="37">
        <v>41977</v>
      </c>
      <c r="O24" s="38">
        <v>92.659</v>
      </c>
      <c r="P24" s="53" t="s">
        <v>120</v>
      </c>
      <c r="Q24" s="43" t="str">
        <f t="shared" si="1"/>
        <v>勝ち</v>
      </c>
      <c r="R24" s="44">
        <f t="shared" si="2"/>
        <v>124.50000000000045</v>
      </c>
      <c r="S24" s="45">
        <f t="shared" si="3"/>
        <v>51000</v>
      </c>
      <c r="T24" s="46">
        <f t="shared" si="6"/>
        <v>677.8000000000005</v>
      </c>
      <c r="U24" s="47">
        <f t="shared" si="4"/>
        <v>0</v>
      </c>
      <c r="V24" s="48">
        <f t="shared" si="5"/>
        <v>345678.0000000003</v>
      </c>
    </row>
    <row r="25" spans="1:22" ht="13.5">
      <c r="A25" s="52">
        <v>21</v>
      </c>
      <c r="B25" s="209">
        <f t="shared" si="8"/>
        <v>2472111.000000003</v>
      </c>
      <c r="C25" s="204">
        <v>0.03</v>
      </c>
      <c r="D25" s="34" t="s">
        <v>117</v>
      </c>
      <c r="E25" s="35" t="s">
        <v>118</v>
      </c>
      <c r="F25" s="36" t="s">
        <v>119</v>
      </c>
      <c r="G25" s="36" t="s">
        <v>108</v>
      </c>
      <c r="H25" s="36" t="s">
        <v>102</v>
      </c>
      <c r="I25" s="37">
        <v>42024</v>
      </c>
      <c r="J25" s="38">
        <v>90.549</v>
      </c>
      <c r="K25" s="38">
        <v>91.895</v>
      </c>
      <c r="L25" s="39">
        <f t="shared" si="0"/>
        <v>90.379</v>
      </c>
      <c r="M25" s="36" t="s">
        <v>108</v>
      </c>
      <c r="N25" s="37">
        <v>42047</v>
      </c>
      <c r="O25" s="38">
        <v>88.828</v>
      </c>
      <c r="P25" s="53" t="s">
        <v>121</v>
      </c>
      <c r="Q25" s="43" t="str">
        <f t="shared" si="1"/>
        <v>勝ち</v>
      </c>
      <c r="R25" s="44">
        <f t="shared" si="2"/>
        <v>134.59999999999894</v>
      </c>
      <c r="S25" s="45">
        <f t="shared" si="3"/>
        <v>55000</v>
      </c>
      <c r="T25" s="46">
        <f t="shared" si="6"/>
        <v>172.10000000000036</v>
      </c>
      <c r="U25" s="47">
        <f t="shared" si="4"/>
        <v>0</v>
      </c>
      <c r="V25" s="48">
        <f t="shared" si="5"/>
        <v>94655.0000000002</v>
      </c>
    </row>
    <row r="26" spans="1:22" ht="13.5">
      <c r="A26" s="52">
        <v>22</v>
      </c>
      <c r="B26" s="209">
        <f t="shared" si="8"/>
        <v>2566766.000000003</v>
      </c>
      <c r="C26" s="204">
        <v>0.03</v>
      </c>
      <c r="D26" s="34" t="s">
        <v>117</v>
      </c>
      <c r="E26" s="35" t="s">
        <v>118</v>
      </c>
      <c r="F26" s="36" t="s">
        <v>119</v>
      </c>
      <c r="G26" s="36" t="s">
        <v>108</v>
      </c>
      <c r="H26" s="36" t="s">
        <v>115</v>
      </c>
      <c r="I26" s="37">
        <v>42115</v>
      </c>
      <c r="J26" s="38">
        <v>92.101</v>
      </c>
      <c r="K26" s="38">
        <v>91.155</v>
      </c>
      <c r="L26" s="39">
        <f t="shared" si="0"/>
        <v>92.271</v>
      </c>
      <c r="M26" s="36" t="s">
        <v>108</v>
      </c>
      <c r="N26" s="37">
        <v>42117</v>
      </c>
      <c r="O26" s="38">
        <v>90.496</v>
      </c>
      <c r="P26" s="53" t="s">
        <v>122</v>
      </c>
      <c r="Q26" s="43" t="str">
        <f t="shared" si="1"/>
        <v>負け</v>
      </c>
      <c r="R26" s="44">
        <f t="shared" si="2"/>
        <v>94.5999999999998</v>
      </c>
      <c r="S26" s="45">
        <f t="shared" si="3"/>
        <v>81000</v>
      </c>
      <c r="T26" s="46">
        <f t="shared" si="6"/>
        <v>0</v>
      </c>
      <c r="U26" s="47">
        <f t="shared" si="4"/>
        <v>-160.5000000000004</v>
      </c>
      <c r="V26" s="48">
        <f t="shared" si="5"/>
        <v>-130005.00000000032</v>
      </c>
    </row>
    <row r="27" spans="1:22" ht="13.5">
      <c r="A27" s="52">
        <v>23</v>
      </c>
      <c r="B27" s="209">
        <f t="shared" si="8"/>
        <v>2436761.0000000023</v>
      </c>
      <c r="C27" s="204">
        <v>0.03</v>
      </c>
      <c r="D27" s="34" t="s">
        <v>117</v>
      </c>
      <c r="E27" s="35" t="s">
        <v>118</v>
      </c>
      <c r="F27" s="36" t="s">
        <v>119</v>
      </c>
      <c r="G27" s="36" t="s">
        <v>108</v>
      </c>
      <c r="H27" s="36" t="s">
        <v>102</v>
      </c>
      <c r="I27" s="37">
        <v>42130</v>
      </c>
      <c r="J27" s="38">
        <v>89.391</v>
      </c>
      <c r="K27" s="38">
        <v>90.674</v>
      </c>
      <c r="L27" s="39">
        <f t="shared" si="0"/>
        <v>89.221</v>
      </c>
      <c r="M27" s="36" t="s">
        <v>108</v>
      </c>
      <c r="N27" s="37">
        <v>42200</v>
      </c>
      <c r="O27" s="38">
        <v>82.964</v>
      </c>
      <c r="P27" s="53" t="s">
        <v>121</v>
      </c>
      <c r="Q27" s="43" t="str">
        <f t="shared" si="1"/>
        <v>勝ち</v>
      </c>
      <c r="R27" s="44">
        <f t="shared" si="2"/>
        <v>128.30000000000013</v>
      </c>
      <c r="S27" s="45">
        <f t="shared" si="3"/>
        <v>56000</v>
      </c>
      <c r="T27" s="46">
        <f t="shared" si="6"/>
        <v>642.7000000000006</v>
      </c>
      <c r="U27" s="47">
        <f t="shared" si="4"/>
        <v>0</v>
      </c>
      <c r="V27" s="48">
        <f t="shared" si="5"/>
        <v>359912.00000000035</v>
      </c>
    </row>
    <row r="28" spans="1:22" ht="13.5">
      <c r="A28" s="52">
        <v>24</v>
      </c>
      <c r="B28" s="209">
        <f t="shared" si="8"/>
        <v>2796673.000000003</v>
      </c>
      <c r="C28" s="204">
        <v>0.03</v>
      </c>
      <c r="D28" s="34" t="s">
        <v>117</v>
      </c>
      <c r="E28" s="35" t="s">
        <v>118</v>
      </c>
      <c r="F28" s="36" t="s">
        <v>119</v>
      </c>
      <c r="G28" s="36" t="s">
        <v>108</v>
      </c>
      <c r="H28" s="36" t="s">
        <v>102</v>
      </c>
      <c r="I28" s="37">
        <v>42207</v>
      </c>
      <c r="J28" s="38">
        <v>81.393</v>
      </c>
      <c r="K28" s="38">
        <v>82.184</v>
      </c>
      <c r="L28" s="39">
        <f t="shared" si="0"/>
        <v>81.223</v>
      </c>
      <c r="M28" s="36" t="s">
        <v>108</v>
      </c>
      <c r="N28" s="37">
        <v>42208</v>
      </c>
      <c r="O28" s="38">
        <v>82.853</v>
      </c>
      <c r="P28" s="53" t="s">
        <v>122</v>
      </c>
      <c r="Q28" s="43" t="str">
        <f t="shared" si="1"/>
        <v>負け</v>
      </c>
      <c r="R28" s="44">
        <f t="shared" si="2"/>
        <v>79.09999999999968</v>
      </c>
      <c r="S28" s="45">
        <f t="shared" si="3"/>
        <v>106000</v>
      </c>
      <c r="T28" s="46">
        <f t="shared" si="6"/>
        <v>0</v>
      </c>
      <c r="U28" s="47">
        <f t="shared" si="4"/>
        <v>-145.99999999999937</v>
      </c>
      <c r="V28" s="48">
        <f t="shared" si="5"/>
        <v>-154759.99999999933</v>
      </c>
    </row>
    <row r="29" spans="1:22" ht="13.5">
      <c r="A29" s="52">
        <v>25</v>
      </c>
      <c r="B29" s="209">
        <f t="shared" si="8"/>
        <v>2641913.0000000033</v>
      </c>
      <c r="C29" s="204">
        <v>0.03</v>
      </c>
      <c r="D29" s="34" t="s">
        <v>117</v>
      </c>
      <c r="E29" s="35" t="s">
        <v>118</v>
      </c>
      <c r="F29" s="36" t="s">
        <v>119</v>
      </c>
      <c r="G29" s="36" t="s">
        <v>108</v>
      </c>
      <c r="H29" s="36" t="s">
        <v>102</v>
      </c>
      <c r="I29" s="37">
        <v>42235</v>
      </c>
      <c r="J29" s="38">
        <v>81.378</v>
      </c>
      <c r="K29" s="38">
        <v>82.108</v>
      </c>
      <c r="L29" s="39">
        <f t="shared" si="0"/>
        <v>81.208</v>
      </c>
      <c r="M29" s="36" t="s">
        <v>108</v>
      </c>
      <c r="N29" s="37">
        <v>42251</v>
      </c>
      <c r="O29" s="38">
        <v>76.843</v>
      </c>
      <c r="P29" s="53" t="s">
        <v>121</v>
      </c>
      <c r="Q29" s="43" t="str">
        <f t="shared" si="1"/>
        <v>勝ち</v>
      </c>
      <c r="R29" s="44">
        <f t="shared" si="2"/>
        <v>73.0000000000004</v>
      </c>
      <c r="S29" s="45">
        <f t="shared" si="3"/>
        <v>108000</v>
      </c>
      <c r="T29" s="46">
        <f t="shared" si="6"/>
        <v>453.49999999999966</v>
      </c>
      <c r="U29" s="47">
        <f t="shared" si="4"/>
        <v>0</v>
      </c>
      <c r="V29" s="48">
        <f t="shared" si="5"/>
        <v>489779.99999999965</v>
      </c>
    </row>
    <row r="30" spans="1:22" ht="13.5">
      <c r="A30" s="52">
        <v>26</v>
      </c>
      <c r="B30" s="209">
        <f t="shared" si="8"/>
        <v>3131693.000000003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50">
        <f>SUM(T5:T124)+SUM(U5:U124)</f>
        <v>2524.4000000000074</v>
      </c>
      <c r="U125" s="250"/>
      <c r="V125" s="77">
        <f>SUM(V5:V124)</f>
        <v>2131693.0000000037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51" t="s">
        <v>34</v>
      </c>
      <c r="G128" s="252"/>
      <c r="H128" s="253"/>
      <c r="J128" s="254" t="s">
        <v>82</v>
      </c>
      <c r="K128" s="255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56"/>
      <c r="H129" s="257"/>
      <c r="J129" s="218" t="s">
        <v>111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15</v>
      </c>
      <c r="H130" s="259"/>
      <c r="J130" s="218" t="s">
        <v>112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10</v>
      </c>
      <c r="H131" s="259"/>
      <c r="J131" s="218" t="s">
        <v>113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17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5">
        <f>COUNTIF(Q5:Q124,"負け")</f>
        <v>8</v>
      </c>
      <c r="H134" s="266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5">
        <f>COUNTIF(Q5:Q124,"ドロー")</f>
        <v>0</v>
      </c>
      <c r="H135" s="266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5">
        <f>COUNTIF(Q5:Q124,"保留中")</f>
        <v>0</v>
      </c>
      <c r="H136" s="266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61">
        <f>SUMIF(Q5:Q124,"勝ち",V5:V124)</f>
        <v>2712616.0000000033</v>
      </c>
      <c r="H137" s="26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73">
        <f>SUMIF(Q5:Q124,"負け",V5:V124)</f>
        <v>-580922.9999999999</v>
      </c>
      <c r="H138" s="274"/>
      <c r="J138" s="260" t="s">
        <v>51</v>
      </c>
      <c r="K138" s="260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61">
        <f>G137+G138</f>
        <v>2131693.0000000033</v>
      </c>
      <c r="H139" s="262"/>
      <c r="J139" s="201" t="s">
        <v>104</v>
      </c>
      <c r="K139" s="82">
        <f aca="true" t="shared" si="19" ref="K139:K144">COUNTIF($F$5:$F$124,J139)</f>
        <v>25</v>
      </c>
      <c r="L139" s="82">
        <f>_xlfn.COUNTIFS($H$5:$H$124,"買い",$F$5:$F$124,J139)</f>
        <v>15</v>
      </c>
      <c r="M139" s="83">
        <f>_xlfn.COUNTIFS($F$5:$F$124,J139,$H$5:$H$124,"売り")</f>
        <v>10</v>
      </c>
      <c r="N139" s="84">
        <f aca="true" t="shared" si="20" ref="N139:N144">SUMIF($F$5:$F$124,J139,$T$5:$T$124)+SUMIF($F$5:$F$124,J139,$U$5:$U$124)</f>
        <v>2524.4000000000074</v>
      </c>
      <c r="O139" s="160">
        <f>_xlfn.COUNTIFS($Q$5:$Q$124,"勝ち",$F$5:$F$124,J139)/(COUNTIF($F$5:$F$124,J139)-_xlfn.COUNTIFS($F$5:$F$124,J139,$Q$5:$Q$124,"ドロー"))*100</f>
        <v>68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63">
        <f>G137/COUNTA(H5:H124)</f>
        <v>108504.64000000013</v>
      </c>
      <c r="H140" s="264"/>
      <c r="J140" s="218" t="s">
        <v>110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63">
        <f>G139/COUNTA(H5:H124)</f>
        <v>85267.72000000013</v>
      </c>
      <c r="H141" s="264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67"/>
      <c r="H142" s="268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67"/>
      <c r="H143" s="268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69">
        <f>MAX(T5:T124)</f>
        <v>677.8000000000005</v>
      </c>
      <c r="H144" s="270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71">
        <f>G133/(G132-G135)</f>
        <v>0.68</v>
      </c>
      <c r="H145" s="272"/>
      <c r="J145" s="85" t="s">
        <v>33</v>
      </c>
      <c r="K145" s="86">
        <f>SUM(K139:K144)</f>
        <v>25</v>
      </c>
      <c r="L145" s="86">
        <f>SUM(L139:L144)</f>
        <v>15</v>
      </c>
      <c r="M145" s="86">
        <f>SUM(M139:M144)</f>
        <v>10</v>
      </c>
      <c r="N145" s="80">
        <f>SUM(N139:N144)</f>
        <v>2524.4000000000074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2015-09-09T22:27:58Z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