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730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デモトレード用_AUDJPY_1日足" sheetId="5" r:id="rId5"/>
    <sheet name="過去検証ＥＵＲＪＰＹ日足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<sst xmlns="http://schemas.openxmlformats.org/spreadsheetml/2006/main" count="462" uniqueCount="189">
  <si>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</si>
  <si>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</si>
  <si>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</si>
  <si>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</si>
  <si>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</si>
  <si>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</si>
  <si>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</si>
  <si>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</si>
  <si>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</si>
  <si>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</si>
  <si>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</si>
  <si>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</si>
  <si>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</si>
  <si>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</si>
  <si>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</si>
  <si>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</si>
  <si>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</si>
  <si>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</si>
  <si>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</si>
  <si>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</si>
  <si>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</si>
  <si>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</si>
  <si>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</si>
  <si>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</si>
  <si>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</si>
  <si>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</si>
  <si>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</si>
  <si>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</si>
  <si>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</si>
  <si>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</si>
  <si>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</si>
  <si>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</si>
  <si>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</si>
  <si>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</si>
  <si>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</si>
  <si>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</si>
  <si>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</si>
  <si>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</si>
  <si>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</si>
  <si>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</si>
  <si>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</si>
  <si>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</si>
  <si>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</si>
  <si>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</si>
  <si>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</si>
  <si>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</si>
  <si>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</si>
  <si>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</si>
  <si>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</si>
  <si>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</si>
  <si>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</si>
  <si>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</si>
  <si>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</si>
  <si>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</si>
  <si>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</si>
  <si>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</si>
  <si>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</si>
  <si>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</si>
  <si>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</si>
  <si>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</si>
  <si>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</si>
  <si>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</si>
  <si>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</si>
  <si>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</si>
  <si>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</si>
  <si>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</si>
  <si>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</si>
  <si>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</si>
  <si>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</si>
  <si>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</si>
  <si>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</si>
  <si>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</si>
  <si>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</si>
  <si>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</si>
  <si>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</si>
  <si>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</si>
  <si>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</si>
  <si>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</si>
  <si>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</si>
  <si>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</si>
  <si>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</si>
  <si>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</si>
  <si>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</si>
  <si>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</si>
  <si>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</si>
  <si>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</si>
  <si>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</si>
  <si>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</si>
  <si>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</si>
  <si>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</si>
  <si>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</si>
  <si>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</si>
  <si>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</si>
  <si>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</si>
  <si>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</si>
  <si>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</si>
  <si>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</si>
  <si>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</si>
  <si>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</si>
  <si>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</si>
  <si>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</si>
  <si>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</si>
  <si>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</si>
  <si>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</si>
  <si>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</si>
  <si>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トレーリング</t>
  </si>
  <si>
    <t>ロスカット値</t>
  </si>
  <si>
    <t>エントリー値</t>
  </si>
  <si>
    <t>1日足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</si>
  <si>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</si>
  <si>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</si>
  <si>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</si>
  <si>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</si>
  <si>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</si>
  <si>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</si>
  <si>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買い</t>
  </si>
  <si>
    <t>EB</t>
  </si>
  <si>
    <t>EB</t>
  </si>
  <si>
    <t>JPY</t>
  </si>
  <si>
    <t>EUR</t>
  </si>
  <si>
    <t>仕掛け2</t>
  </si>
  <si>
    <t>ＥＵＲＪＰＹの日足売りで入りました。</t>
  </si>
  <si>
    <t>右の図、考え方があっているかお教えください。</t>
  </si>
  <si>
    <t>青と黄色の線はまたいでも良いとのことでしたが、</t>
  </si>
  <si>
    <t>これぐらいのまたぎはありでしょうか</t>
  </si>
  <si>
    <t>検証シート1番目の画像です</t>
  </si>
  <si>
    <t>検証シート2番目の画像です。</t>
  </si>
  <si>
    <t>買いで入ったのですが、入った時の左のろうそくのひげが長すぎでしょうか？</t>
  </si>
  <si>
    <t>仕掛け2の考え方は、脚がそろうというのは、ろうそく実態で、ひげは除外と考えていいのか、</t>
  </si>
  <si>
    <t>ひげからそろわないといけないのか、把握できていません。</t>
  </si>
  <si>
    <t>右の図が成立するのかお教えください。</t>
  </si>
  <si>
    <t>検証シート3番目の画像です</t>
  </si>
  <si>
    <t>上記2つより一番きれいな仕掛け2課と思い、載せました。</t>
  </si>
  <si>
    <t>この見方はいかがでしょうか。</t>
  </si>
  <si>
    <t>ここまできれいなものしか駄目となると、あんまり探せていないのが現状です・・・。</t>
  </si>
  <si>
    <t>検証シート4番目の画像です。</t>
  </si>
  <si>
    <t>やはり、売りの入りの部分のひげが長いのと、ろうそく自身にも少しずれがあります。</t>
  </si>
  <si>
    <t>これは、仕掛け2には当たらないでしょうか？</t>
  </si>
  <si>
    <t>いままでの４つ、全て、二つのろうそくの右側の高値安値で入り、</t>
  </si>
  <si>
    <t>決済も、二つのろうそくの右側の高値安値（うり、買い仕掛け1の考え方に準ずる）でしています。</t>
  </si>
  <si>
    <t>仕掛け2の考え方として適していますでしょうか？</t>
  </si>
  <si>
    <t>ストップ切り下げ</t>
  </si>
  <si>
    <t>ストップ切り上げ</t>
  </si>
  <si>
    <r>
      <t>2</t>
    </r>
    <r>
      <rPr>
        <sz val="11"/>
        <color indexed="8"/>
        <rFont val="ＭＳ Ｐゴシック"/>
        <family val="3"/>
      </rPr>
      <t>011/101/10</t>
    </r>
  </si>
  <si>
    <r>
      <t>2</t>
    </r>
    <r>
      <rPr>
        <sz val="11"/>
        <color indexed="8"/>
        <rFont val="ＭＳ Ｐゴシック"/>
        <family val="3"/>
      </rPr>
      <t>011//8/10</t>
    </r>
  </si>
  <si>
    <t>青より上はみていただいています。</t>
  </si>
  <si>
    <t>消そうかと思いましたが、自分が何が解っていなかったの確認するため残しています。</t>
  </si>
  <si>
    <t>下記からみてください。</t>
  </si>
  <si>
    <t>検証5番目の画像です。</t>
  </si>
  <si>
    <t>売りで入りました。</t>
  </si>
  <si>
    <t>ＭＡをまたいでいますが、これくらいのまたぎもだいじょうぶでしょうか？</t>
  </si>
  <si>
    <t>検証6番目の画像です。</t>
  </si>
  <si>
    <t>左の抱いている方、長さが微妙に見えるかもしれませんが、チャートで抱いている方のほうが高値であること確認済みです。</t>
  </si>
  <si>
    <t>検証7番目の画像です。</t>
  </si>
  <si>
    <t>右のものは、ひげがすごく長いですが、それは問題ないでしょうか？</t>
  </si>
  <si>
    <t>検証8番目の画像です</t>
  </si>
  <si>
    <t>左のモノは高さが少し低め（完全にそろってない）ですが、これは仕掛け２に入る範疇でしょうか。</t>
  </si>
  <si>
    <t>検証9番目の画像です</t>
  </si>
  <si>
    <t>これも、左のものが仕掛け２に入る範疇かしりたいです</t>
  </si>
  <si>
    <t>駄目な場合、どれくらいなら基準値としてあてはまるのか、お手本などありましたらお教えください。</t>
  </si>
  <si>
    <t>検証10番目の画像です。</t>
  </si>
  <si>
    <t>買いで入っています。</t>
  </si>
  <si>
    <t>ストップ気切り上げ</t>
  </si>
  <si>
    <t>損切り</t>
  </si>
  <si>
    <t>赤線以下を見てください</t>
  </si>
  <si>
    <t>11番目の画像です。</t>
  </si>
  <si>
    <t>12番目の画像です</t>
  </si>
  <si>
    <t>買いで入りました</t>
  </si>
  <si>
    <t>13番目の画像です</t>
  </si>
  <si>
    <t>14番目の画像です</t>
  </si>
  <si>
    <t>買いで入りました。</t>
  </si>
  <si>
    <t>とちゅうの赤丸は、</t>
  </si>
  <si>
    <t>いったんここにストップをあげてみた。</t>
  </si>
  <si>
    <t>という考え方です（この画像だと、近くのＰＢなどに引っかかっていそうですが、</t>
  </si>
  <si>
    <t>大丈夫でした）</t>
  </si>
  <si>
    <t>15番目の画像です</t>
  </si>
  <si>
    <t>買いで、ＭＡの下から入っているのですが、またいでいるのでいいのかなと思い入ったのですが、この考え方はあっていますでしょうか？</t>
  </si>
  <si>
    <t>16番目の画像です。</t>
  </si>
  <si>
    <t>ＭＡの中にいる状態ですが、これも大丈夫でしょうか？</t>
  </si>
  <si>
    <t>左のものが</t>
  </si>
  <si>
    <t>20番目の画像です。</t>
  </si>
  <si>
    <t>真ん中の丸は、</t>
  </si>
  <si>
    <t>17，18，19など途中負けている画像割愛しました</t>
  </si>
  <si>
    <t>ストップを一回上げたというつもりです。</t>
  </si>
  <si>
    <t>22番目の画像です</t>
  </si>
  <si>
    <t>売りで入りました</t>
  </si>
  <si>
    <t>23番目の画像です</t>
  </si>
  <si>
    <t>左のモノは完全にＭＡの下のあるのですが、これはＥＢの定義に当てはまりますでしょうか？</t>
  </si>
  <si>
    <t>25番目の画像です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</si>
</sst>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0" fontId="0" fillId="41" borderId="0" xfId="0" applyFill="1" applyAlignment="1">
      <alignment vertical="center"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99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10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0" fontId="0" fillId="42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19</xdr:row>
      <xdr:rowOff>9525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3</xdr:col>
      <xdr:colOff>466725</xdr:colOff>
      <xdr:row>43</xdr:row>
      <xdr:rowOff>57150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43350"/>
          <a:ext cx="25241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4</xdr:col>
      <xdr:colOff>161925</xdr:colOff>
      <xdr:row>59</xdr:row>
      <xdr:rowOff>57150</xdr:rowOff>
    </xdr:to>
    <xdr:pic>
      <xdr:nvPicPr>
        <xdr:cNvPr id="3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29600"/>
          <a:ext cx="29051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600075</xdr:colOff>
      <xdr:row>84</xdr:row>
      <xdr:rowOff>142875</xdr:rowOff>
    </xdr:to>
    <xdr:pic>
      <xdr:nvPicPr>
        <xdr:cNvPr id="4" name="Picture 4" descr="image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972800"/>
          <a:ext cx="74580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3</xdr:col>
      <xdr:colOff>209550</xdr:colOff>
      <xdr:row>111</xdr:row>
      <xdr:rowOff>66675</xdr:rowOff>
    </xdr:to>
    <xdr:pic>
      <xdr:nvPicPr>
        <xdr:cNvPr id="5" name="Picture 21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802100"/>
          <a:ext cx="22669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130</xdr:row>
      <xdr:rowOff>76200</xdr:rowOff>
    </xdr:to>
    <xdr:pic>
      <xdr:nvPicPr>
        <xdr:cNvPr id="6" name="Picture 22" descr="image0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059650"/>
          <a:ext cx="20669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2</xdr:col>
      <xdr:colOff>609600</xdr:colOff>
      <xdr:row>151</xdr:row>
      <xdr:rowOff>152400</xdr:rowOff>
    </xdr:to>
    <xdr:pic>
      <xdr:nvPicPr>
        <xdr:cNvPr id="7" name="Picture 23" descr="image0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488650"/>
          <a:ext cx="19812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638175</xdr:colOff>
      <xdr:row>167</xdr:row>
      <xdr:rowOff>152400</xdr:rowOff>
    </xdr:to>
    <xdr:pic>
      <xdr:nvPicPr>
        <xdr:cNvPr id="8" name="Picture 24" descr="image0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6746200"/>
          <a:ext cx="13239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3</xdr:col>
      <xdr:colOff>590550</xdr:colOff>
      <xdr:row>187</xdr:row>
      <xdr:rowOff>133350</xdr:rowOff>
    </xdr:to>
    <xdr:pic>
      <xdr:nvPicPr>
        <xdr:cNvPr id="9" name="Picture 25" descr="image0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9660850"/>
          <a:ext cx="26479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5</xdr:col>
      <xdr:colOff>552450</xdr:colOff>
      <xdr:row>211</xdr:row>
      <xdr:rowOff>28575</xdr:rowOff>
    </xdr:to>
    <xdr:pic>
      <xdr:nvPicPr>
        <xdr:cNvPr id="10" name="Picture 26" descr="image0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2918400"/>
          <a:ext cx="39814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7</xdr:col>
      <xdr:colOff>228600</xdr:colOff>
      <xdr:row>240</xdr:row>
      <xdr:rowOff>142875</xdr:rowOff>
    </xdr:to>
    <xdr:pic>
      <xdr:nvPicPr>
        <xdr:cNvPr id="11" name="Picture 77" descr="image0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7890450"/>
          <a:ext cx="50292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245</xdr:row>
      <xdr:rowOff>142875</xdr:rowOff>
    </xdr:from>
    <xdr:to>
      <xdr:col>7</xdr:col>
      <xdr:colOff>257175</xdr:colOff>
      <xdr:row>265</xdr:row>
      <xdr:rowOff>114300</xdr:rowOff>
    </xdr:to>
    <xdr:pic>
      <xdr:nvPicPr>
        <xdr:cNvPr id="12" name="Picture 78" descr="image0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42148125"/>
          <a:ext cx="49625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269</xdr:row>
      <xdr:rowOff>0</xdr:rowOff>
    </xdr:from>
    <xdr:to>
      <xdr:col>3</xdr:col>
      <xdr:colOff>571500</xdr:colOff>
      <xdr:row>284</xdr:row>
      <xdr:rowOff>19050</xdr:rowOff>
    </xdr:to>
    <xdr:pic>
      <xdr:nvPicPr>
        <xdr:cNvPr id="13" name="Picture 79" descr="image0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6120050"/>
          <a:ext cx="26289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5</xdr:col>
      <xdr:colOff>361950</xdr:colOff>
      <xdr:row>307</xdr:row>
      <xdr:rowOff>133350</xdr:rowOff>
    </xdr:to>
    <xdr:pic>
      <xdr:nvPicPr>
        <xdr:cNvPr id="14" name="Picture 80" descr="image0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9377600"/>
          <a:ext cx="37909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314</xdr:row>
      <xdr:rowOff>0</xdr:rowOff>
    </xdr:from>
    <xdr:to>
      <xdr:col>4</xdr:col>
      <xdr:colOff>561975</xdr:colOff>
      <xdr:row>334</xdr:row>
      <xdr:rowOff>66675</xdr:rowOff>
    </xdr:to>
    <xdr:pic>
      <xdr:nvPicPr>
        <xdr:cNvPr id="15" name="Picture 81" descr="image0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53835300"/>
          <a:ext cx="33051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338</xdr:row>
      <xdr:rowOff>142875</xdr:rowOff>
    </xdr:from>
    <xdr:to>
      <xdr:col>3</xdr:col>
      <xdr:colOff>76200</xdr:colOff>
      <xdr:row>349</xdr:row>
      <xdr:rowOff>161925</xdr:rowOff>
    </xdr:to>
    <xdr:pic>
      <xdr:nvPicPr>
        <xdr:cNvPr id="16" name="Picture 82" descr="image0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58092975"/>
          <a:ext cx="2038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355</xdr:row>
      <xdr:rowOff>142875</xdr:rowOff>
    </xdr:from>
    <xdr:to>
      <xdr:col>4</xdr:col>
      <xdr:colOff>28575</xdr:colOff>
      <xdr:row>370</xdr:row>
      <xdr:rowOff>85725</xdr:rowOff>
    </xdr:to>
    <xdr:pic>
      <xdr:nvPicPr>
        <xdr:cNvPr id="17" name="Picture 83" descr="image0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" y="61007625"/>
          <a:ext cx="2676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374</xdr:row>
      <xdr:rowOff>0</xdr:rowOff>
    </xdr:from>
    <xdr:to>
      <xdr:col>1</xdr:col>
      <xdr:colOff>581025</xdr:colOff>
      <xdr:row>382</xdr:row>
      <xdr:rowOff>133350</xdr:rowOff>
    </xdr:to>
    <xdr:pic>
      <xdr:nvPicPr>
        <xdr:cNvPr id="18" name="Picture 84" descr="image00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64122300"/>
          <a:ext cx="1266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387</xdr:row>
      <xdr:rowOff>0</xdr:rowOff>
    </xdr:from>
    <xdr:to>
      <xdr:col>2</xdr:col>
      <xdr:colOff>219075</xdr:colOff>
      <xdr:row>399</xdr:row>
      <xdr:rowOff>161925</xdr:rowOff>
    </xdr:to>
    <xdr:pic>
      <xdr:nvPicPr>
        <xdr:cNvPr id="19" name="Picture 85" descr="image00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66351150"/>
          <a:ext cx="15906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406</xdr:row>
      <xdr:rowOff>142875</xdr:rowOff>
    </xdr:from>
    <xdr:to>
      <xdr:col>4</xdr:col>
      <xdr:colOff>533400</xdr:colOff>
      <xdr:row>424</xdr:row>
      <xdr:rowOff>0</xdr:rowOff>
    </xdr:to>
    <xdr:pic>
      <xdr:nvPicPr>
        <xdr:cNvPr id="20" name="Picture 86" descr="image0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0" y="69751575"/>
          <a:ext cx="31813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5" t="s">
        <v>0</v>
      </c>
      <c r="E1" s="236"/>
      <c r="F1" s="237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8">
        <v>500000</v>
      </c>
      <c r="E2" s="238"/>
      <c r="F2" s="238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9">
        <f>SUM(D2+F36)</f>
        <v>500000</v>
      </c>
      <c r="E3" s="239"/>
      <c r="F3" s="240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41" t="s">
        <v>87</v>
      </c>
      <c r="B36" s="242"/>
      <c r="C36" s="243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8"/>
  <sheetViews>
    <sheetView tabSelected="1" zoomScalePageLayoutView="0" workbookViewId="0" topLeftCell="A400">
      <selection activeCell="J408" sqref="J408"/>
    </sheetView>
  </sheetViews>
  <sheetFormatPr defaultColWidth="9.00390625" defaultRowHeight="13.5"/>
  <sheetData>
    <row r="1" spans="9:10" ht="13.5">
      <c r="I1" t="s">
        <v>120</v>
      </c>
      <c r="J1" t="s">
        <v>125</v>
      </c>
    </row>
    <row r="2" ht="13.5">
      <c r="I2" t="s">
        <v>121</v>
      </c>
    </row>
    <row r="3" ht="13.5">
      <c r="I3" t="s">
        <v>122</v>
      </c>
    </row>
    <row r="5" ht="13.5">
      <c r="I5" t="s">
        <v>123</v>
      </c>
    </row>
    <row r="6" ht="13.5">
      <c r="I6" t="s">
        <v>124</v>
      </c>
    </row>
    <row r="23" ht="13.5">
      <c r="I23" t="s">
        <v>126</v>
      </c>
    </row>
    <row r="24" ht="13.5">
      <c r="I24" t="s">
        <v>127</v>
      </c>
    </row>
    <row r="25" ht="13.5">
      <c r="I25" t="s">
        <v>128</v>
      </c>
    </row>
    <row r="26" ht="13.5">
      <c r="I26" t="s">
        <v>129</v>
      </c>
    </row>
    <row r="28" ht="13.5">
      <c r="I28" t="s">
        <v>130</v>
      </c>
    </row>
    <row r="49" ht="13.5">
      <c r="J49" t="s">
        <v>131</v>
      </c>
    </row>
    <row r="50" ht="13.5">
      <c r="J50" t="s">
        <v>132</v>
      </c>
    </row>
    <row r="51" ht="13.5">
      <c r="J51" t="s">
        <v>133</v>
      </c>
    </row>
    <row r="53" ht="13.5">
      <c r="J53" t="s">
        <v>134</v>
      </c>
    </row>
    <row r="66" ht="13.5">
      <c r="L66" t="s">
        <v>135</v>
      </c>
    </row>
    <row r="67" ht="13.5">
      <c r="L67" t="s">
        <v>136</v>
      </c>
    </row>
    <row r="68" ht="13.5">
      <c r="L68" t="s">
        <v>137</v>
      </c>
    </row>
    <row r="75" ht="13.5">
      <c r="L75" t="s">
        <v>138</v>
      </c>
    </row>
    <row r="76" ht="13.5">
      <c r="L76" t="s">
        <v>139</v>
      </c>
    </row>
    <row r="78" ht="13.5">
      <c r="L78" t="s">
        <v>140</v>
      </c>
    </row>
    <row r="91" spans="1:31" ht="13.5">
      <c r="A91" s="2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</row>
    <row r="93" ht="13.5">
      <c r="H93" t="s">
        <v>145</v>
      </c>
    </row>
    <row r="94" ht="13.5">
      <c r="H94" t="s">
        <v>146</v>
      </c>
    </row>
    <row r="95" ht="13.5">
      <c r="H95" t="s">
        <v>147</v>
      </c>
    </row>
    <row r="99" ht="13.5">
      <c r="I99" t="s">
        <v>148</v>
      </c>
    </row>
    <row r="100" ht="13.5">
      <c r="I100" t="s">
        <v>149</v>
      </c>
    </row>
    <row r="102" ht="13.5">
      <c r="I102" t="s">
        <v>150</v>
      </c>
    </row>
    <row r="117" ht="13.5">
      <c r="I117" t="s">
        <v>151</v>
      </c>
    </row>
    <row r="118" ht="13.5">
      <c r="I118" t="s">
        <v>149</v>
      </c>
    </row>
    <row r="121" ht="13.5">
      <c r="I121" t="s">
        <v>152</v>
      </c>
    </row>
    <row r="138" ht="13.5">
      <c r="I138" t="s">
        <v>153</v>
      </c>
    </row>
    <row r="139" ht="13.5">
      <c r="I139" t="s">
        <v>154</v>
      </c>
    </row>
    <row r="157" ht="13.5">
      <c r="I157" t="s">
        <v>155</v>
      </c>
    </row>
    <row r="158" ht="13.5">
      <c r="I158" t="s">
        <v>156</v>
      </c>
    </row>
    <row r="173" ht="13.5">
      <c r="I173" t="s">
        <v>157</v>
      </c>
    </row>
    <row r="174" ht="13.5">
      <c r="I174" t="s">
        <v>158</v>
      </c>
    </row>
    <row r="175" ht="13.5">
      <c r="I175" t="s">
        <v>159</v>
      </c>
    </row>
    <row r="193" ht="13.5">
      <c r="I193" t="s">
        <v>160</v>
      </c>
    </row>
    <row r="194" ht="13.5">
      <c r="I194" t="s">
        <v>161</v>
      </c>
    </row>
    <row r="216" spans="1:16" ht="13.5">
      <c r="A216" s="279"/>
      <c r="B216" s="279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</row>
    <row r="217" spans="1:16" ht="13.5">
      <c r="A217" s="279"/>
      <c r="B217" s="279"/>
      <c r="C217" s="279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</row>
    <row r="218" ht="13.5">
      <c r="F218" t="s">
        <v>164</v>
      </c>
    </row>
    <row r="222" ht="13.5">
      <c r="K222" t="s">
        <v>165</v>
      </c>
    </row>
    <row r="223" ht="13.5">
      <c r="K223" t="s">
        <v>149</v>
      </c>
    </row>
    <row r="247" ht="13.5">
      <c r="K247" t="s">
        <v>166</v>
      </c>
    </row>
    <row r="248" ht="13.5">
      <c r="K248" t="s">
        <v>167</v>
      </c>
    </row>
    <row r="271" ht="13.5">
      <c r="K271" t="s">
        <v>168</v>
      </c>
    </row>
    <row r="272" ht="13.5">
      <c r="K272" t="s">
        <v>167</v>
      </c>
    </row>
    <row r="288" ht="13.5">
      <c r="K288" t="s">
        <v>169</v>
      </c>
    </row>
    <row r="289" ht="13.5">
      <c r="K289" t="s">
        <v>170</v>
      </c>
    </row>
    <row r="291" ht="13.5">
      <c r="K291" t="s">
        <v>171</v>
      </c>
    </row>
    <row r="292" ht="13.5">
      <c r="K292" t="s">
        <v>172</v>
      </c>
    </row>
    <row r="293" ht="13.5">
      <c r="K293" t="s">
        <v>173</v>
      </c>
    </row>
    <row r="294" ht="13.5">
      <c r="K294" t="s">
        <v>174</v>
      </c>
    </row>
    <row r="314" ht="13.5">
      <c r="K314" t="s">
        <v>175</v>
      </c>
    </row>
    <row r="315" ht="13.5">
      <c r="K315" t="s">
        <v>170</v>
      </c>
    </row>
    <row r="316" ht="13.5">
      <c r="K316" t="s">
        <v>176</v>
      </c>
    </row>
    <row r="340" ht="13.5">
      <c r="K340" t="s">
        <v>177</v>
      </c>
    </row>
    <row r="341" ht="13.5">
      <c r="K341" t="s">
        <v>170</v>
      </c>
    </row>
    <row r="342" spans="10:11" ht="13.5">
      <c r="J342" t="s">
        <v>179</v>
      </c>
      <c r="K342" t="s">
        <v>178</v>
      </c>
    </row>
    <row r="358" ht="13.5">
      <c r="J358" t="s">
        <v>180</v>
      </c>
    </row>
    <row r="359" ht="13.5">
      <c r="J359" t="s">
        <v>182</v>
      </c>
    </row>
    <row r="360" spans="10:12" ht="13.5">
      <c r="J360" t="s">
        <v>181</v>
      </c>
      <c r="L360" t="s">
        <v>183</v>
      </c>
    </row>
    <row r="375" ht="13.5">
      <c r="J375" t="s">
        <v>184</v>
      </c>
    </row>
    <row r="376" ht="13.5">
      <c r="J376" t="s">
        <v>185</v>
      </c>
    </row>
    <row r="388" ht="13.5">
      <c r="J388" t="s">
        <v>186</v>
      </c>
    </row>
    <row r="389" ht="13.5">
      <c r="J389" t="s">
        <v>187</v>
      </c>
    </row>
    <row r="406" ht="13.5">
      <c r="J406" t="s">
        <v>188</v>
      </c>
    </row>
    <row r="408" ht="13.5">
      <c r="J408" t="s">
        <v>149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5"/>
      <c r="Q3" s="246"/>
      <c r="R3" s="246"/>
      <c r="S3" s="246"/>
      <c r="T3" s="246"/>
      <c r="U3" s="246"/>
      <c r="V3" s="246"/>
    </row>
    <row r="4" spans="1:22" ht="13.5">
      <c r="A4" s="154"/>
      <c r="B4" s="244"/>
      <c r="C4" s="244"/>
      <c r="D4" s="244"/>
      <c r="P4" s="246"/>
      <c r="Q4" s="246"/>
      <c r="R4" s="246"/>
      <c r="S4" s="246"/>
      <c r="T4" s="246"/>
      <c r="U4" s="246"/>
      <c r="V4" s="246"/>
    </row>
    <row r="5" spans="1:22" ht="13.5">
      <c r="A5" s="154"/>
      <c r="B5" s="244"/>
      <c r="C5" s="244"/>
      <c r="D5" s="244"/>
      <c r="P5" s="246"/>
      <c r="Q5" s="246"/>
      <c r="R5" s="246"/>
      <c r="S5" s="246"/>
      <c r="T5" s="246"/>
      <c r="U5" s="246"/>
      <c r="V5" s="246"/>
    </row>
    <row r="6" spans="1:22" ht="13.5">
      <c r="A6" s="155"/>
      <c r="B6" s="244"/>
      <c r="C6" s="244"/>
      <c r="D6" s="244"/>
      <c r="P6" s="246"/>
      <c r="Q6" s="246"/>
      <c r="R6" s="246"/>
      <c r="S6" s="246"/>
      <c r="T6" s="246"/>
      <c r="U6" s="246"/>
      <c r="V6" s="246"/>
    </row>
    <row r="7" spans="1:22" ht="13.5">
      <c r="A7" s="154"/>
      <c r="G7" s="156"/>
      <c r="P7" s="246"/>
      <c r="Q7" s="246"/>
      <c r="R7" s="246"/>
      <c r="S7" s="246"/>
      <c r="T7" s="246"/>
      <c r="U7" s="246"/>
      <c r="V7" s="246"/>
    </row>
    <row r="8" spans="1:22" ht="13.5">
      <c r="A8" s="154" t="s">
        <v>55</v>
      </c>
      <c r="P8" s="246"/>
      <c r="Q8" s="246"/>
      <c r="R8" s="246"/>
      <c r="S8" s="246"/>
      <c r="T8" s="246"/>
      <c r="U8" s="246"/>
      <c r="V8" s="246"/>
    </row>
    <row r="9" spans="16:22" ht="8.25" customHeight="1">
      <c r="P9" s="246"/>
      <c r="Q9" s="246"/>
      <c r="R9" s="246"/>
      <c r="S9" s="246"/>
      <c r="T9" s="246"/>
      <c r="U9" s="246"/>
      <c r="V9" s="246"/>
    </row>
    <row r="10" spans="2:22" ht="14.25">
      <c r="B10" s="150" t="s">
        <v>92</v>
      </c>
      <c r="P10" s="246"/>
      <c r="Q10" s="246"/>
      <c r="R10" s="246"/>
      <c r="S10" s="246"/>
      <c r="T10" s="246"/>
      <c r="U10" s="246"/>
      <c r="V10" s="246"/>
    </row>
    <row r="11" spans="16:22" ht="13.5">
      <c r="P11" s="246"/>
      <c r="Q11" s="246"/>
      <c r="R11" s="246"/>
      <c r="S11" s="246"/>
      <c r="T11" s="246"/>
      <c r="U11" s="246"/>
      <c r="V11" s="246"/>
    </row>
    <row r="12" spans="16:22" ht="13.5">
      <c r="P12" s="246"/>
      <c r="Q12" s="246"/>
      <c r="R12" s="246"/>
      <c r="S12" s="246"/>
      <c r="T12" s="246"/>
      <c r="U12" s="246"/>
      <c r="V12" s="246"/>
    </row>
    <row r="13" spans="16:22" ht="13.5">
      <c r="P13" s="246"/>
      <c r="Q13" s="246"/>
      <c r="R13" s="246"/>
      <c r="S13" s="246"/>
      <c r="T13" s="246"/>
      <c r="U13" s="246"/>
      <c r="V13" s="246"/>
    </row>
    <row r="14" spans="16:22" ht="13.5">
      <c r="P14" s="246"/>
      <c r="Q14" s="246"/>
      <c r="R14" s="246"/>
      <c r="S14" s="246"/>
      <c r="T14" s="246"/>
      <c r="U14" s="246"/>
      <c r="V14" s="246"/>
    </row>
    <row r="15" spans="16:22" ht="13.5">
      <c r="P15" s="246"/>
      <c r="Q15" s="246"/>
      <c r="R15" s="246"/>
      <c r="S15" s="246"/>
      <c r="T15" s="246"/>
      <c r="U15" s="246"/>
      <c r="V15" s="246"/>
    </row>
    <row r="16" spans="16:22" ht="13.5">
      <c r="P16" s="246"/>
      <c r="Q16" s="246"/>
      <c r="R16" s="246"/>
      <c r="S16" s="246"/>
      <c r="T16" s="246"/>
      <c r="U16" s="246"/>
      <c r="V16" s="246"/>
    </row>
    <row r="17" spans="16:22" ht="13.5">
      <c r="P17" s="246"/>
      <c r="Q17" s="246"/>
      <c r="R17" s="246"/>
      <c r="S17" s="246"/>
      <c r="T17" s="246"/>
      <c r="U17" s="246"/>
      <c r="V17" s="246"/>
    </row>
    <row r="18" spans="16:22" ht="13.5">
      <c r="P18" s="246"/>
      <c r="Q18" s="246"/>
      <c r="R18" s="246"/>
      <c r="S18" s="246"/>
      <c r="T18" s="246"/>
      <c r="U18" s="246"/>
      <c r="V18" s="246"/>
    </row>
    <row r="19" spans="16:22" ht="13.5">
      <c r="P19" s="246"/>
      <c r="Q19" s="246"/>
      <c r="R19" s="246"/>
      <c r="S19" s="246"/>
      <c r="T19" s="246"/>
      <c r="U19" s="246"/>
      <c r="V19" s="246"/>
    </row>
    <row r="20" spans="2:22" ht="14.25">
      <c r="B20" s="150" t="s">
        <v>93</v>
      </c>
      <c r="P20" s="246"/>
      <c r="Q20" s="246"/>
      <c r="R20" s="246"/>
      <c r="S20" s="246"/>
      <c r="T20" s="246"/>
      <c r="U20" s="246"/>
      <c r="V20" s="246"/>
    </row>
    <row r="21" spans="16:22" ht="13.5">
      <c r="P21" s="246"/>
      <c r="Q21" s="246"/>
      <c r="R21" s="246"/>
      <c r="S21" s="246"/>
      <c r="T21" s="246"/>
      <c r="U21" s="246"/>
      <c r="V21" s="246"/>
    </row>
    <row r="22" spans="16:22" ht="13.5">
      <c r="P22" s="246"/>
      <c r="Q22" s="246"/>
      <c r="R22" s="246"/>
      <c r="S22" s="246"/>
      <c r="T22" s="246"/>
      <c r="U22" s="246"/>
      <c r="V22" s="246"/>
    </row>
    <row r="23" spans="16:22" ht="13.5">
      <c r="P23" s="246"/>
      <c r="Q23" s="246"/>
      <c r="R23" s="246"/>
      <c r="S23" s="246"/>
      <c r="T23" s="246"/>
      <c r="U23" s="246"/>
      <c r="V23" s="246"/>
    </row>
    <row r="24" spans="16:22" ht="13.5">
      <c r="P24" s="246"/>
      <c r="Q24" s="246"/>
      <c r="R24" s="246"/>
      <c r="S24" s="246"/>
      <c r="T24" s="246"/>
      <c r="U24" s="246"/>
      <c r="V24" s="246"/>
    </row>
    <row r="25" spans="2:22" ht="14.25">
      <c r="B25" s="150" t="s">
        <v>94</v>
      </c>
      <c r="P25" s="246"/>
      <c r="Q25" s="246"/>
      <c r="R25" s="246"/>
      <c r="S25" s="246"/>
      <c r="T25" s="246"/>
      <c r="U25" s="246"/>
      <c r="V25" s="246"/>
    </row>
    <row r="26" spans="16:22" ht="13.5">
      <c r="P26" s="246"/>
      <c r="Q26" s="246"/>
      <c r="R26" s="246"/>
      <c r="S26" s="246"/>
      <c r="T26" s="246"/>
      <c r="U26" s="246"/>
      <c r="V26" s="246"/>
    </row>
    <row r="27" spans="16:22" ht="13.5">
      <c r="P27" s="246"/>
      <c r="Q27" s="246"/>
      <c r="R27" s="246"/>
      <c r="S27" s="246"/>
      <c r="T27" s="246"/>
      <c r="U27" s="246"/>
      <c r="V27" s="246"/>
    </row>
    <row r="28" spans="16:22" ht="13.5">
      <c r="P28" s="246"/>
      <c r="Q28" s="246"/>
      <c r="R28" s="246"/>
      <c r="S28" s="246"/>
      <c r="T28" s="246"/>
      <c r="U28" s="246"/>
      <c r="V28" s="246"/>
    </row>
    <row r="29" spans="16:22" ht="13.5">
      <c r="P29" s="246"/>
      <c r="Q29" s="246"/>
      <c r="R29" s="246"/>
      <c r="S29" s="246"/>
      <c r="T29" s="246"/>
      <c r="U29" s="246"/>
      <c r="V29" s="246"/>
    </row>
    <row r="30" spans="16:22" ht="13.5">
      <c r="P30" s="246"/>
      <c r="Q30" s="246"/>
      <c r="R30" s="246"/>
      <c r="S30" s="246"/>
      <c r="T30" s="246"/>
      <c r="U30" s="246"/>
      <c r="V30" s="246"/>
    </row>
    <row r="31" spans="16:22" ht="13.5">
      <c r="P31" s="246"/>
      <c r="Q31" s="246"/>
      <c r="R31" s="246"/>
      <c r="S31" s="246"/>
      <c r="T31" s="246"/>
      <c r="U31" s="246"/>
      <c r="V31" s="246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5" sqref="M5:P5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47" t="s">
        <v>60</v>
      </c>
      <c r="B2" s="247"/>
      <c r="C2" s="248">
        <f>I2+V125</f>
        <v>539844</v>
      </c>
      <c r="D2" s="248"/>
      <c r="E2" s="248"/>
      <c r="F2" s="248"/>
      <c r="G2" s="247" t="s">
        <v>61</v>
      </c>
      <c r="H2" s="247"/>
      <c r="I2" s="19">
        <v>500000</v>
      </c>
      <c r="J2" s="20" t="s">
        <v>62</v>
      </c>
      <c r="K2" s="214">
        <v>0.2</v>
      </c>
      <c r="N2" s="216"/>
      <c r="O2" s="215" t="s">
        <v>109</v>
      </c>
      <c r="U2" s="18"/>
      <c r="V2" s="18"/>
      <c r="W2" s="18"/>
      <c r="AU2" s="21">
        <f>I2-I2*K2</f>
        <v>400000</v>
      </c>
    </row>
    <row r="3" spans="1:23" ht="21" customHeight="1">
      <c r="A3" s="247" t="s">
        <v>63</v>
      </c>
      <c r="B3" s="247"/>
      <c r="C3" s="249">
        <v>17</v>
      </c>
      <c r="D3" s="249"/>
      <c r="E3" s="249"/>
      <c r="F3" s="249"/>
      <c r="G3" s="250">
        <f>IF(C2&lt;AU2,"警告！！資金不足！！","")</f>
      </c>
      <c r="H3" s="250"/>
      <c r="I3" s="250"/>
      <c r="J3" s="250"/>
      <c r="K3" s="250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51" t="s">
        <v>21</v>
      </c>
      <c r="E4" s="252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500000</v>
      </c>
      <c r="C5" s="204">
        <v>0.02</v>
      </c>
      <c r="D5" s="34" t="s">
        <v>81</v>
      </c>
      <c r="E5" s="35" t="s">
        <v>74</v>
      </c>
      <c r="F5" s="36" t="s">
        <v>103</v>
      </c>
      <c r="G5" s="36" t="s">
        <v>108</v>
      </c>
      <c r="H5" s="36" t="s">
        <v>102</v>
      </c>
      <c r="I5" s="37">
        <v>40196</v>
      </c>
      <c r="J5" s="38">
        <v>83.631</v>
      </c>
      <c r="K5" s="38">
        <v>85.024</v>
      </c>
      <c r="L5" s="39">
        <f aca="true" t="shared" si="0" ref="L5:L68">IF(H5="","",IF(H5="買い",J5+$C$3*VLOOKUP(E5,$X$5:$AA$23,3,FALSE),J5-$C$3*VLOOKUP(E5,$X$5:$AA$23,3,FALSE)))</f>
        <v>83.461</v>
      </c>
      <c r="M5" s="36" t="s">
        <v>108</v>
      </c>
      <c r="N5" s="40">
        <v>40218</v>
      </c>
      <c r="O5" s="41">
        <v>77.939</v>
      </c>
      <c r="P5" s="42" t="s">
        <v>105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139.30000000000007</v>
      </c>
      <c r="S5" s="45">
        <f aca="true" t="shared" si="3" ref="S5:S68">IF(K5="",0,ROUNDDOWN((B5*C5)/(VLOOKUP(E5,$X$5:$AA$23,4,FALSE)*R5),-3))</f>
        <v>7000</v>
      </c>
      <c r="T5" s="46">
        <f aca="true" t="shared" si="4" ref="T5:T68">IF(Q5="勝ち",IF(H5="買い",(O5-J5)/VLOOKUP(E5,$X$5:$AA$23,3,FALSE),(J5-O5)/VLOOKUP(E5,$X$5:$AA$23,3,FALSE)),0)</f>
        <v>569.2000000000007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39844.00000000005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/>
      <c r="C6" s="204"/>
      <c r="D6" s="34"/>
      <c r="E6" s="35"/>
      <c r="F6" s="36"/>
      <c r="G6" s="36"/>
      <c r="H6" s="36"/>
      <c r="I6" s="37"/>
      <c r="J6" s="38"/>
      <c r="K6" s="38"/>
      <c r="L6" s="39">
        <f t="shared" si="0"/>
      </c>
      <c r="M6" s="36"/>
      <c r="N6" s="37"/>
      <c r="O6" s="38"/>
      <c r="P6" s="53"/>
      <c r="Q6" s="43">
        <f t="shared" si="1"/>
      </c>
      <c r="R6" s="44">
        <f t="shared" si="2"/>
        <v>0</v>
      </c>
      <c r="S6" s="45">
        <f t="shared" si="3"/>
        <v>0</v>
      </c>
      <c r="T6" s="46">
        <f t="shared" si="4"/>
        <v>0</v>
      </c>
      <c r="U6" s="47">
        <f t="shared" si="5"/>
        <v>0</v>
      </c>
      <c r="V6" s="48">
        <f t="shared" si="6"/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/>
      <c r="C7" s="204"/>
      <c r="D7" s="34"/>
      <c r="E7" s="35"/>
      <c r="F7" s="36"/>
      <c r="G7" s="36"/>
      <c r="H7" s="36"/>
      <c r="I7" s="37"/>
      <c r="J7" s="38"/>
      <c r="K7" s="38"/>
      <c r="L7" s="39">
        <f t="shared" si="0"/>
      </c>
      <c r="M7" s="36"/>
      <c r="N7" s="37"/>
      <c r="O7" s="38"/>
      <c r="P7" s="53"/>
      <c r="Q7" s="43">
        <f t="shared" si="1"/>
      </c>
      <c r="R7" s="44">
        <f t="shared" si="2"/>
        <v>0</v>
      </c>
      <c r="S7" s="45">
        <f t="shared" si="3"/>
        <v>0</v>
      </c>
      <c r="T7" s="46">
        <f t="shared" si="4"/>
        <v>0</v>
      </c>
      <c r="U7" s="47">
        <f t="shared" si="5"/>
        <v>0</v>
      </c>
      <c r="V7" s="48">
        <f t="shared" si="6"/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/>
      <c r="C8" s="204"/>
      <c r="D8" s="34"/>
      <c r="E8" s="35"/>
      <c r="F8" s="36"/>
      <c r="G8" s="36"/>
      <c r="H8" s="36"/>
      <c r="I8" s="37"/>
      <c r="J8" s="38"/>
      <c r="K8" s="38"/>
      <c r="L8" s="39">
        <f t="shared" si="0"/>
      </c>
      <c r="M8" s="36"/>
      <c r="N8" s="37"/>
      <c r="O8" s="38"/>
      <c r="P8" s="53"/>
      <c r="Q8" s="43">
        <f t="shared" si="1"/>
      </c>
      <c r="R8" s="44">
        <f t="shared" si="2"/>
        <v>0</v>
      </c>
      <c r="S8" s="45">
        <f t="shared" si="3"/>
        <v>0</v>
      </c>
      <c r="T8" s="46">
        <f t="shared" si="4"/>
        <v>0</v>
      </c>
      <c r="U8" s="47">
        <f t="shared" si="5"/>
        <v>0</v>
      </c>
      <c r="V8" s="48">
        <f t="shared" si="6"/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/>
      <c r="C9" s="204"/>
      <c r="D9" s="34"/>
      <c r="E9" s="35"/>
      <c r="F9" s="36"/>
      <c r="G9" s="36"/>
      <c r="H9" s="36"/>
      <c r="I9" s="37"/>
      <c r="J9" s="38"/>
      <c r="K9" s="38"/>
      <c r="L9" s="39">
        <f t="shared" si="0"/>
      </c>
      <c r="M9" s="36"/>
      <c r="N9" s="37"/>
      <c r="O9" s="38"/>
      <c r="P9" s="53"/>
      <c r="Q9" s="43">
        <f t="shared" si="1"/>
      </c>
      <c r="R9" s="44">
        <f t="shared" si="2"/>
        <v>0</v>
      </c>
      <c r="S9" s="45">
        <f t="shared" si="3"/>
        <v>0</v>
      </c>
      <c r="T9" s="46">
        <f t="shared" si="4"/>
        <v>0</v>
      </c>
      <c r="U9" s="47">
        <f t="shared" si="5"/>
        <v>0</v>
      </c>
      <c r="V9" s="48">
        <f t="shared" si="6"/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/>
      <c r="C10" s="204"/>
      <c r="D10" s="34"/>
      <c r="E10" s="35"/>
      <c r="F10" s="36"/>
      <c r="G10" s="36"/>
      <c r="H10" s="36"/>
      <c r="I10" s="37"/>
      <c r="J10" s="38"/>
      <c r="K10" s="38"/>
      <c r="L10" s="39">
        <f t="shared" si="0"/>
      </c>
      <c r="M10" s="36"/>
      <c r="N10" s="37"/>
      <c r="O10" s="38"/>
      <c r="P10" s="53"/>
      <c r="Q10" s="43">
        <f t="shared" si="1"/>
      </c>
      <c r="R10" s="44">
        <f t="shared" si="2"/>
        <v>0</v>
      </c>
      <c r="S10" s="45">
        <f t="shared" si="3"/>
        <v>0</v>
      </c>
      <c r="T10" s="46">
        <f t="shared" si="4"/>
        <v>0</v>
      </c>
      <c r="U10" s="47">
        <f t="shared" si="5"/>
        <v>0</v>
      </c>
      <c r="V10" s="48">
        <f t="shared" si="6"/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/>
      <c r="C11" s="204"/>
      <c r="D11" s="34"/>
      <c r="E11" s="35"/>
      <c r="F11" s="36"/>
      <c r="G11" s="36"/>
      <c r="H11" s="36"/>
      <c r="I11" s="37"/>
      <c r="J11" s="38"/>
      <c r="K11" s="38"/>
      <c r="L11" s="39">
        <f t="shared" si="0"/>
      </c>
      <c r="M11" s="36"/>
      <c r="N11" s="37"/>
      <c r="O11" s="38"/>
      <c r="P11" s="53"/>
      <c r="Q11" s="43">
        <f t="shared" si="1"/>
      </c>
      <c r="R11" s="44">
        <f t="shared" si="2"/>
        <v>0</v>
      </c>
      <c r="S11" s="45">
        <f t="shared" si="3"/>
        <v>0</v>
      </c>
      <c r="T11" s="46">
        <f t="shared" si="4"/>
        <v>0</v>
      </c>
      <c r="U11" s="47">
        <f t="shared" si="5"/>
        <v>0</v>
      </c>
      <c r="V11" s="48">
        <f t="shared" si="6"/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/>
      <c r="C12" s="204"/>
      <c r="D12" s="34"/>
      <c r="E12" s="35"/>
      <c r="F12" s="36"/>
      <c r="G12" s="36"/>
      <c r="H12" s="36"/>
      <c r="I12" s="37"/>
      <c r="J12" s="38"/>
      <c r="K12" s="38"/>
      <c r="L12" s="39">
        <f t="shared" si="0"/>
      </c>
      <c r="M12" s="36"/>
      <c r="N12" s="37"/>
      <c r="O12" s="38"/>
      <c r="P12" s="53"/>
      <c r="Q12" s="43">
        <f t="shared" si="1"/>
      </c>
      <c r="R12" s="44">
        <f t="shared" si="2"/>
        <v>0</v>
      </c>
      <c r="S12" s="45">
        <f t="shared" si="3"/>
        <v>0</v>
      </c>
      <c r="T12" s="46">
        <f t="shared" si="4"/>
        <v>0</v>
      </c>
      <c r="U12" s="47">
        <f t="shared" si="5"/>
        <v>0</v>
      </c>
      <c r="V12" s="48">
        <f t="shared" si="6"/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/>
      <c r="C13" s="204"/>
      <c r="D13" s="34"/>
      <c r="E13" s="35"/>
      <c r="F13" s="36"/>
      <c r="G13" s="36"/>
      <c r="H13" s="36"/>
      <c r="I13" s="37"/>
      <c r="J13" s="38"/>
      <c r="K13" s="38"/>
      <c r="L13" s="39">
        <f t="shared" si="0"/>
      </c>
      <c r="M13" s="36"/>
      <c r="N13" s="37"/>
      <c r="O13" s="38"/>
      <c r="P13" s="53"/>
      <c r="Q13" s="43">
        <f t="shared" si="1"/>
      </c>
      <c r="R13" s="44">
        <f t="shared" si="2"/>
        <v>0</v>
      </c>
      <c r="S13" s="45">
        <f t="shared" si="3"/>
        <v>0</v>
      </c>
      <c r="T13" s="46">
        <f t="shared" si="4"/>
        <v>0</v>
      </c>
      <c r="U13" s="47">
        <f t="shared" si="5"/>
        <v>0</v>
      </c>
      <c r="V13" s="48">
        <f t="shared" si="6"/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/>
      <c r="C14" s="204"/>
      <c r="D14" s="34"/>
      <c r="E14" s="35"/>
      <c r="F14" s="36"/>
      <c r="G14" s="36"/>
      <c r="H14" s="36"/>
      <c r="I14" s="37"/>
      <c r="J14" s="38"/>
      <c r="K14" s="38"/>
      <c r="L14" s="39">
        <f t="shared" si="0"/>
      </c>
      <c r="M14" s="36"/>
      <c r="N14" s="37"/>
      <c r="O14" s="38"/>
      <c r="P14" s="53"/>
      <c r="Q14" s="43">
        <f t="shared" si="1"/>
      </c>
      <c r="R14" s="44">
        <f t="shared" si="2"/>
        <v>0</v>
      </c>
      <c r="S14" s="45">
        <f t="shared" si="3"/>
        <v>0</v>
      </c>
      <c r="T14" s="46">
        <f t="shared" si="4"/>
        <v>0</v>
      </c>
      <c r="U14" s="47">
        <f t="shared" si="5"/>
        <v>0</v>
      </c>
      <c r="V14" s="48">
        <f t="shared" si="6"/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/>
      <c r="C15" s="204"/>
      <c r="D15" s="34"/>
      <c r="E15" s="35"/>
      <c r="F15" s="36"/>
      <c r="G15" s="36"/>
      <c r="H15" s="36"/>
      <c r="I15" s="37"/>
      <c r="J15" s="38"/>
      <c r="K15" s="38"/>
      <c r="L15" s="39">
        <f t="shared" si="0"/>
      </c>
      <c r="M15" s="36"/>
      <c r="N15" s="37"/>
      <c r="O15" s="38"/>
      <c r="P15" s="53"/>
      <c r="Q15" s="43">
        <f t="shared" si="1"/>
      </c>
      <c r="R15" s="44">
        <f t="shared" si="2"/>
        <v>0</v>
      </c>
      <c r="S15" s="45">
        <f t="shared" si="3"/>
        <v>0</v>
      </c>
      <c r="T15" s="46">
        <f t="shared" si="4"/>
        <v>0</v>
      </c>
      <c r="U15" s="47">
        <f t="shared" si="5"/>
        <v>0</v>
      </c>
      <c r="V15" s="48">
        <f t="shared" si="6"/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/>
      <c r="C16" s="204"/>
      <c r="D16" s="34"/>
      <c r="E16" s="35"/>
      <c r="F16" s="36"/>
      <c r="G16" s="36"/>
      <c r="H16" s="36"/>
      <c r="I16" s="37"/>
      <c r="J16" s="38"/>
      <c r="K16" s="38"/>
      <c r="L16" s="39">
        <f t="shared" si="0"/>
      </c>
      <c r="M16" s="36"/>
      <c r="N16" s="37"/>
      <c r="O16" s="38"/>
      <c r="P16" s="53"/>
      <c r="Q16" s="43">
        <f t="shared" si="1"/>
      </c>
      <c r="R16" s="44">
        <f t="shared" si="2"/>
        <v>0</v>
      </c>
      <c r="S16" s="45">
        <f t="shared" si="3"/>
        <v>0</v>
      </c>
      <c r="T16" s="46">
        <f t="shared" si="4"/>
        <v>0</v>
      </c>
      <c r="U16" s="47">
        <f t="shared" si="5"/>
        <v>0</v>
      </c>
      <c r="V16" s="48">
        <f t="shared" si="6"/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/>
      <c r="C17" s="204"/>
      <c r="D17" s="34"/>
      <c r="E17" s="35"/>
      <c r="F17" s="36"/>
      <c r="G17" s="36"/>
      <c r="H17" s="36"/>
      <c r="I17" s="37"/>
      <c r="J17" s="38"/>
      <c r="K17" s="38"/>
      <c r="L17" s="39">
        <f t="shared" si="0"/>
      </c>
      <c r="M17" s="36"/>
      <c r="N17" s="37"/>
      <c r="O17" s="38"/>
      <c r="P17" s="53"/>
      <c r="Q17" s="43">
        <f t="shared" si="1"/>
      </c>
      <c r="R17" s="44">
        <f t="shared" si="2"/>
        <v>0</v>
      </c>
      <c r="S17" s="45">
        <f t="shared" si="3"/>
        <v>0</v>
      </c>
      <c r="T17" s="46">
        <f t="shared" si="4"/>
        <v>0</v>
      </c>
      <c r="U17" s="47">
        <f t="shared" si="5"/>
        <v>0</v>
      </c>
      <c r="V17" s="48">
        <f t="shared" si="6"/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/>
      <c r="C18" s="204"/>
      <c r="D18" s="34"/>
      <c r="E18" s="35"/>
      <c r="F18" s="36"/>
      <c r="G18" s="36"/>
      <c r="H18" s="36"/>
      <c r="I18" s="37"/>
      <c r="J18" s="38"/>
      <c r="K18" s="38"/>
      <c r="L18" s="39">
        <f t="shared" si="0"/>
      </c>
      <c r="M18" s="36"/>
      <c r="N18" s="37"/>
      <c r="O18" s="38"/>
      <c r="P18" s="53"/>
      <c r="Q18" s="43">
        <f t="shared" si="1"/>
      </c>
      <c r="R18" s="44">
        <f t="shared" si="2"/>
        <v>0</v>
      </c>
      <c r="S18" s="45">
        <f t="shared" si="3"/>
        <v>0</v>
      </c>
      <c r="T18" s="46">
        <f t="shared" si="4"/>
        <v>0</v>
      </c>
      <c r="U18" s="47">
        <f t="shared" si="5"/>
        <v>0</v>
      </c>
      <c r="V18" s="48">
        <f t="shared" si="6"/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/>
      <c r="C19" s="204"/>
      <c r="D19" s="34"/>
      <c r="E19" s="35"/>
      <c r="F19" s="36"/>
      <c r="G19" s="36"/>
      <c r="H19" s="36"/>
      <c r="I19" s="37"/>
      <c r="J19" s="38"/>
      <c r="K19" s="38"/>
      <c r="L19" s="39">
        <f t="shared" si="0"/>
      </c>
      <c r="M19" s="36"/>
      <c r="N19" s="37"/>
      <c r="O19" s="38"/>
      <c r="P19" s="53"/>
      <c r="Q19" s="43">
        <f t="shared" si="1"/>
      </c>
      <c r="R19" s="44">
        <f t="shared" si="2"/>
        <v>0</v>
      </c>
      <c r="S19" s="45">
        <f t="shared" si="3"/>
        <v>0</v>
      </c>
      <c r="T19" s="46">
        <f t="shared" si="4"/>
        <v>0</v>
      </c>
      <c r="U19" s="47">
        <f t="shared" si="5"/>
        <v>0</v>
      </c>
      <c r="V19" s="48">
        <f t="shared" si="6"/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/>
      <c r="C20" s="204"/>
      <c r="D20" s="34"/>
      <c r="E20" s="35"/>
      <c r="F20" s="36"/>
      <c r="G20" s="36"/>
      <c r="H20" s="36"/>
      <c r="I20" s="37"/>
      <c r="J20" s="38"/>
      <c r="K20" s="38"/>
      <c r="L20" s="39">
        <f t="shared" si="0"/>
      </c>
      <c r="M20" s="36"/>
      <c r="N20" s="37"/>
      <c r="O20" s="38"/>
      <c r="P20" s="53"/>
      <c r="Q20" s="43">
        <f t="shared" si="1"/>
      </c>
      <c r="R20" s="44">
        <f t="shared" si="2"/>
        <v>0</v>
      </c>
      <c r="S20" s="45">
        <f t="shared" si="3"/>
        <v>0</v>
      </c>
      <c r="T20" s="46">
        <f t="shared" si="4"/>
        <v>0</v>
      </c>
      <c r="U20" s="47">
        <f t="shared" si="5"/>
        <v>0</v>
      </c>
      <c r="V20" s="48">
        <f t="shared" si="6"/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/>
      <c r="C21" s="204"/>
      <c r="D21" s="34"/>
      <c r="E21" s="35"/>
      <c r="F21" s="36"/>
      <c r="G21" s="36"/>
      <c r="H21" s="36"/>
      <c r="I21" s="37"/>
      <c r="J21" s="38"/>
      <c r="K21" s="38"/>
      <c r="L21" s="39">
        <f t="shared" si="0"/>
      </c>
      <c r="M21" s="36"/>
      <c r="N21" s="37"/>
      <c r="O21" s="38"/>
      <c r="P21" s="53"/>
      <c r="Q21" s="43">
        <f t="shared" si="1"/>
      </c>
      <c r="R21" s="44">
        <f t="shared" si="2"/>
        <v>0</v>
      </c>
      <c r="S21" s="45">
        <f t="shared" si="3"/>
        <v>0</v>
      </c>
      <c r="T21" s="46">
        <f t="shared" si="4"/>
        <v>0</v>
      </c>
      <c r="U21" s="47">
        <f t="shared" si="5"/>
        <v>0</v>
      </c>
      <c r="V21" s="48">
        <f t="shared" si="6"/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/>
      <c r="C22" s="204"/>
      <c r="D22" s="34"/>
      <c r="E22" s="35"/>
      <c r="F22" s="36"/>
      <c r="G22" s="36"/>
      <c r="H22" s="36"/>
      <c r="I22" s="37"/>
      <c r="J22" s="38"/>
      <c r="K22" s="38"/>
      <c r="L22" s="39">
        <f t="shared" si="0"/>
      </c>
      <c r="M22" s="36"/>
      <c r="N22" s="37"/>
      <c r="O22" s="38"/>
      <c r="P22" s="53"/>
      <c r="Q22" s="43">
        <f t="shared" si="1"/>
      </c>
      <c r="R22" s="44">
        <f t="shared" si="2"/>
        <v>0</v>
      </c>
      <c r="S22" s="45">
        <f t="shared" si="3"/>
        <v>0</v>
      </c>
      <c r="T22" s="46">
        <f t="shared" si="4"/>
        <v>0</v>
      </c>
      <c r="U22" s="47">
        <f t="shared" si="5"/>
        <v>0</v>
      </c>
      <c r="V22" s="48">
        <f t="shared" si="6"/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/>
      <c r="C23" s="204"/>
      <c r="D23" s="34"/>
      <c r="E23" s="35"/>
      <c r="F23" s="36"/>
      <c r="G23" s="36"/>
      <c r="H23" s="36"/>
      <c r="I23" s="37"/>
      <c r="J23" s="38"/>
      <c r="K23" s="38"/>
      <c r="L23" s="39">
        <f t="shared" si="0"/>
      </c>
      <c r="M23" s="36"/>
      <c r="N23" s="37"/>
      <c r="O23" s="38"/>
      <c r="P23" s="53"/>
      <c r="Q23" s="43">
        <f t="shared" si="1"/>
      </c>
      <c r="R23" s="44">
        <f t="shared" si="2"/>
        <v>0</v>
      </c>
      <c r="S23" s="45">
        <f t="shared" si="3"/>
        <v>0</v>
      </c>
      <c r="T23" s="46">
        <f t="shared" si="4"/>
        <v>0</v>
      </c>
      <c r="U23" s="47">
        <f t="shared" si="5"/>
        <v>0</v>
      </c>
      <c r="V23" s="48">
        <f t="shared" si="6"/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/>
      <c r="C24" s="204"/>
      <c r="D24" s="34"/>
      <c r="E24" s="35"/>
      <c r="F24" s="36"/>
      <c r="G24" s="36"/>
      <c r="H24" s="36"/>
      <c r="I24" s="37"/>
      <c r="J24" s="38"/>
      <c r="K24" s="38"/>
      <c r="L24" s="39">
        <f t="shared" si="0"/>
      </c>
      <c r="M24" s="36"/>
      <c r="N24" s="37"/>
      <c r="O24" s="38"/>
      <c r="P24" s="53"/>
      <c r="Q24" s="43">
        <f t="shared" si="1"/>
      </c>
      <c r="R24" s="44">
        <f t="shared" si="2"/>
        <v>0</v>
      </c>
      <c r="S24" s="45">
        <f t="shared" si="3"/>
        <v>0</v>
      </c>
      <c r="T24" s="46">
        <f t="shared" si="4"/>
        <v>0</v>
      </c>
      <c r="U24" s="47">
        <f t="shared" si="5"/>
        <v>0</v>
      </c>
      <c r="V24" s="48">
        <f t="shared" si="6"/>
      </c>
    </row>
    <row r="25" spans="1:22" ht="13.5">
      <c r="A25" s="52">
        <v>21</v>
      </c>
      <c r="B25" s="226"/>
      <c r="C25" s="204"/>
      <c r="D25" s="34"/>
      <c r="E25" s="35"/>
      <c r="F25" s="36"/>
      <c r="G25" s="36"/>
      <c r="H25" s="36"/>
      <c r="I25" s="37"/>
      <c r="J25" s="38"/>
      <c r="K25" s="38"/>
      <c r="L25" s="39">
        <f t="shared" si="0"/>
      </c>
      <c r="M25" s="36"/>
      <c r="N25" s="37"/>
      <c r="O25" s="38"/>
      <c r="P25" s="53"/>
      <c r="Q25" s="43">
        <f t="shared" si="1"/>
      </c>
      <c r="R25" s="44">
        <f t="shared" si="2"/>
        <v>0</v>
      </c>
      <c r="S25" s="45">
        <f t="shared" si="3"/>
        <v>0</v>
      </c>
      <c r="T25" s="46">
        <f t="shared" si="4"/>
        <v>0</v>
      </c>
      <c r="U25" s="47">
        <f t="shared" si="5"/>
        <v>0</v>
      </c>
      <c r="V25" s="48">
        <f t="shared" si="6"/>
      </c>
    </row>
    <row r="26" spans="1:22" ht="13.5">
      <c r="A26" s="52">
        <v>22</v>
      </c>
      <c r="B26" s="226"/>
      <c r="C26" s="204"/>
      <c r="D26" s="34"/>
      <c r="E26" s="35"/>
      <c r="F26" s="36"/>
      <c r="G26" s="36"/>
      <c r="H26" s="36"/>
      <c r="I26" s="37"/>
      <c r="J26" s="38"/>
      <c r="K26" s="38"/>
      <c r="L26" s="39">
        <f t="shared" si="0"/>
      </c>
      <c r="M26" s="36"/>
      <c r="N26" s="37"/>
      <c r="O26" s="38"/>
      <c r="P26" s="53"/>
      <c r="Q26" s="43">
        <f t="shared" si="1"/>
      </c>
      <c r="R26" s="44">
        <f t="shared" si="2"/>
        <v>0</v>
      </c>
      <c r="S26" s="45">
        <f t="shared" si="3"/>
        <v>0</v>
      </c>
      <c r="T26" s="46">
        <f t="shared" si="4"/>
        <v>0</v>
      </c>
      <c r="U26" s="47">
        <f t="shared" si="5"/>
        <v>0</v>
      </c>
      <c r="V26" s="48">
        <f t="shared" si="6"/>
      </c>
    </row>
    <row r="27" spans="1:22" ht="13.5">
      <c r="A27" s="52">
        <v>23</v>
      </c>
      <c r="B27" s="226"/>
      <c r="C27" s="204"/>
      <c r="D27" s="34"/>
      <c r="E27" s="35"/>
      <c r="F27" s="36"/>
      <c r="G27" s="36"/>
      <c r="H27" s="36"/>
      <c r="I27" s="37"/>
      <c r="J27" s="38"/>
      <c r="K27" s="38"/>
      <c r="L27" s="39">
        <f t="shared" si="0"/>
      </c>
      <c r="M27" s="36"/>
      <c r="N27" s="37"/>
      <c r="O27" s="38"/>
      <c r="P27" s="53"/>
      <c r="Q27" s="43">
        <f t="shared" si="1"/>
      </c>
      <c r="R27" s="44">
        <f t="shared" si="2"/>
        <v>0</v>
      </c>
      <c r="S27" s="45">
        <f t="shared" si="3"/>
        <v>0</v>
      </c>
      <c r="T27" s="46">
        <f t="shared" si="4"/>
        <v>0</v>
      </c>
      <c r="U27" s="47">
        <f t="shared" si="5"/>
        <v>0</v>
      </c>
      <c r="V27" s="48">
        <f t="shared" si="6"/>
      </c>
    </row>
    <row r="28" spans="1:22" ht="13.5">
      <c r="A28" s="52">
        <v>24</v>
      </c>
      <c r="B28" s="226"/>
      <c r="C28" s="204"/>
      <c r="D28" s="34"/>
      <c r="E28" s="35"/>
      <c r="F28" s="36"/>
      <c r="G28" s="36"/>
      <c r="H28" s="36"/>
      <c r="I28" s="37"/>
      <c r="J28" s="38"/>
      <c r="K28" s="38"/>
      <c r="L28" s="39">
        <f t="shared" si="0"/>
      </c>
      <c r="M28" s="36"/>
      <c r="N28" s="37"/>
      <c r="O28" s="38"/>
      <c r="P28" s="53"/>
      <c r="Q28" s="43">
        <f t="shared" si="1"/>
      </c>
      <c r="R28" s="44">
        <f t="shared" si="2"/>
        <v>0</v>
      </c>
      <c r="S28" s="45">
        <f t="shared" si="3"/>
        <v>0</v>
      </c>
      <c r="T28" s="46">
        <f t="shared" si="4"/>
        <v>0</v>
      </c>
      <c r="U28" s="47">
        <f t="shared" si="5"/>
        <v>0</v>
      </c>
      <c r="V28" s="48">
        <f t="shared" si="6"/>
      </c>
    </row>
    <row r="29" spans="1:22" ht="13.5">
      <c r="A29" s="52">
        <v>25</v>
      </c>
      <c r="B29" s="226"/>
      <c r="C29" s="204"/>
      <c r="D29" s="34"/>
      <c r="E29" s="35"/>
      <c r="F29" s="36"/>
      <c r="G29" s="36"/>
      <c r="H29" s="36"/>
      <c r="I29" s="37"/>
      <c r="J29" s="38"/>
      <c r="K29" s="38"/>
      <c r="L29" s="39">
        <f t="shared" si="0"/>
      </c>
      <c r="M29" s="36"/>
      <c r="N29" s="37"/>
      <c r="O29" s="38"/>
      <c r="P29" s="53"/>
      <c r="Q29" s="43">
        <f t="shared" si="1"/>
      </c>
      <c r="R29" s="44">
        <f t="shared" si="2"/>
        <v>0</v>
      </c>
      <c r="S29" s="45">
        <f t="shared" si="3"/>
        <v>0</v>
      </c>
      <c r="T29" s="46">
        <f t="shared" si="4"/>
        <v>0</v>
      </c>
      <c r="U29" s="47">
        <f t="shared" si="5"/>
        <v>0</v>
      </c>
      <c r="V29" s="48">
        <f t="shared" si="6"/>
      </c>
    </row>
    <row r="30" spans="1:22" ht="13.5">
      <c r="A30" s="52">
        <v>26</v>
      </c>
      <c r="B30" s="226"/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53">
        <f>SUM(T5:T124)+SUM(U5:U124)</f>
        <v>569.2000000000007</v>
      </c>
      <c r="U125" s="253"/>
      <c r="V125" s="77">
        <f>SUM(V5:V124)</f>
        <v>39844.00000000005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54" t="s">
        <v>34</v>
      </c>
      <c r="G128" s="255"/>
      <c r="H128" s="256"/>
      <c r="J128" s="257" t="s">
        <v>82</v>
      </c>
      <c r="K128" s="258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59"/>
      <c r="H129" s="260"/>
      <c r="J129" s="218" t="s">
        <v>111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61">
        <f>COUNTIF(H5:H124,"買い")</f>
        <v>0</v>
      </c>
      <c r="H130" s="262"/>
      <c r="J130" s="218" t="s">
        <v>112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61">
        <f>COUNTIF(H5:H124,"売り")</f>
        <v>1</v>
      </c>
      <c r="H131" s="262"/>
      <c r="J131" s="218" t="s">
        <v>113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61">
        <f>G130+G131</f>
        <v>1</v>
      </c>
      <c r="H132" s="262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61">
        <f>COUNTIF(Q5:Q124,"勝ち")</f>
        <v>1</v>
      </c>
      <c r="H133" s="262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8">
        <f>COUNTIF(Q5:Q124,"負け")</f>
        <v>0</v>
      </c>
      <c r="H134" s="269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8">
        <f>COUNTIF(Q5:Q124,"ドロー")</f>
        <v>0</v>
      </c>
      <c r="H135" s="269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8">
        <f>COUNTIF(Q5:Q124,"保留中")</f>
        <v>0</v>
      </c>
      <c r="H136" s="269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64">
        <f>SUMIF(Q5:Q124,"勝ち",V5:V124)</f>
        <v>39844.00000000005</v>
      </c>
      <c r="H137" s="265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76">
        <f>SUMIF(Q5:Q124,"負け",V5:V124)</f>
        <v>0</v>
      </c>
      <c r="H138" s="277"/>
      <c r="J138" s="263" t="s">
        <v>51</v>
      </c>
      <c r="K138" s="263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64">
        <f>G137+G138</f>
        <v>39844.00000000005</v>
      </c>
      <c r="H139" s="265"/>
      <c r="J139" s="218" t="s">
        <v>103</v>
      </c>
      <c r="K139" s="82">
        <f aca="true" t="shared" si="17" ref="K139:K144">COUNTIF($F$5:$F$124,J139)</f>
        <v>1</v>
      </c>
      <c r="L139" s="82">
        <f>_xlfn.COUNTIFS($H$5:$H$124,"買い",$F$5:$F$124,J139)</f>
        <v>0</v>
      </c>
      <c r="M139" s="83">
        <f>_xlfn.COUNTIFS($F$5:$F$124,J139,$H$5:$H$124,"売り")</f>
        <v>1</v>
      </c>
      <c r="N139" s="84">
        <f aca="true" t="shared" si="18" ref="N139:N144">SUMIF($F$5:$F$124,J139,$T$5:$T$124)+SUMIF($F$5:$F$124,J139,$U$5:$U$124)</f>
        <v>569.2000000000007</v>
      </c>
      <c r="O139" s="160">
        <f>_xlfn.COUNTIFS($Q$5:$Q$124,"勝ち",$F$5:$F$124,J139)/(COUNTIF($F$5:$F$124,J139)-_xlfn.COUNTIFS($F$5:$F$124,J139,$Q$5:$Q$124,"ドロー"))*100</f>
        <v>100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66">
        <f>G137/COUNTA(H5:H124)</f>
        <v>39844.00000000005</v>
      </c>
      <c r="H140" s="267"/>
      <c r="J140" s="218" t="s">
        <v>110</v>
      </c>
      <c r="K140" s="82">
        <f t="shared" si="17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18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66">
        <f>G139/COUNTA(H5:H124)</f>
        <v>39844.00000000005</v>
      </c>
      <c r="H141" s="267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70"/>
      <c r="H142" s="271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70"/>
      <c r="H143" s="271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72">
        <f>MAX(T5:T124)</f>
        <v>569.2000000000007</v>
      </c>
      <c r="H144" s="273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74">
        <f>G133/(G132-G135)</f>
        <v>1</v>
      </c>
      <c r="H145" s="275"/>
      <c r="J145" s="85" t="s">
        <v>33</v>
      </c>
      <c r="K145" s="86">
        <f>SUM(K139:K144)</f>
        <v>1</v>
      </c>
      <c r="L145" s="86">
        <f>SUM(L139:L144)</f>
        <v>0</v>
      </c>
      <c r="M145" s="86">
        <f>SUM(M139:M144)</f>
        <v>1</v>
      </c>
      <c r="N145" s="80">
        <f>SUM(N139:N144)</f>
        <v>569.2000000000007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2:H142"/>
    <mergeCell ref="G143:H143"/>
    <mergeCell ref="G144:H144"/>
    <mergeCell ref="G145:H145"/>
    <mergeCell ref="G137:H137"/>
    <mergeCell ref="G138:H138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D4:E4"/>
    <mergeCell ref="T125:U125"/>
    <mergeCell ref="F128:H128"/>
    <mergeCell ref="J128:K128"/>
    <mergeCell ref="G129:H129"/>
    <mergeCell ref="G130:H130"/>
    <mergeCell ref="A2:B2"/>
    <mergeCell ref="C2:F2"/>
    <mergeCell ref="G2:H2"/>
    <mergeCell ref="A3:B3"/>
    <mergeCell ref="C3:F3"/>
    <mergeCell ref="G3:K3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30" sqref="O30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47" t="s">
        <v>60</v>
      </c>
      <c r="B2" s="247"/>
      <c r="C2" s="248">
        <f>I2+V125</f>
        <v>6329652.000000005</v>
      </c>
      <c r="D2" s="248"/>
      <c r="E2" s="248"/>
      <c r="F2" s="248"/>
      <c r="G2" s="247" t="s">
        <v>61</v>
      </c>
      <c r="H2" s="247"/>
      <c r="I2" s="19">
        <v>1000000</v>
      </c>
      <c r="J2" s="20" t="s">
        <v>62</v>
      </c>
      <c r="K2" s="214">
        <v>0.3</v>
      </c>
      <c r="N2" s="216"/>
      <c r="O2" s="215" t="s">
        <v>109</v>
      </c>
      <c r="U2" s="18"/>
      <c r="V2" s="18"/>
      <c r="W2" s="18"/>
      <c r="AU2" s="21">
        <f>I2-I2*K2</f>
        <v>700000</v>
      </c>
    </row>
    <row r="3" spans="1:23" ht="21" customHeight="1">
      <c r="A3" s="247" t="s">
        <v>63</v>
      </c>
      <c r="B3" s="247"/>
      <c r="C3" s="249">
        <v>17</v>
      </c>
      <c r="D3" s="249"/>
      <c r="E3" s="249"/>
      <c r="F3" s="249"/>
      <c r="G3" s="250">
        <f>IF(C2&lt;AU2,"警告！！資金不足！！","")</f>
      </c>
      <c r="H3" s="250"/>
      <c r="I3" s="250"/>
      <c r="J3" s="250"/>
      <c r="K3" s="250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51" t="s">
        <v>21</v>
      </c>
      <c r="E4" s="252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77</v>
      </c>
      <c r="E5" s="35" t="s">
        <v>118</v>
      </c>
      <c r="F5" s="36" t="s">
        <v>103</v>
      </c>
      <c r="G5" s="36" t="s">
        <v>108</v>
      </c>
      <c r="H5" s="36" t="s">
        <v>102</v>
      </c>
      <c r="I5" s="37">
        <v>40295</v>
      </c>
      <c r="J5" s="38">
        <v>122.55</v>
      </c>
      <c r="K5" s="38">
        <v>125.96</v>
      </c>
      <c r="L5" s="39">
        <f aca="true" t="shared" si="0" ref="L5:L68">IF(H5="","",IF(H5="買い",J5+$C$3*VLOOKUP(E5,$X$5:$AA$23,3,FALSE),J5-$C$3*VLOOKUP(E5,$X$5:$AA$23,3,FALSE)))</f>
        <v>122.38</v>
      </c>
      <c r="M5" s="36" t="s">
        <v>108</v>
      </c>
      <c r="N5" s="40">
        <v>40333</v>
      </c>
      <c r="O5" s="231">
        <v>113.35</v>
      </c>
      <c r="P5" s="42" t="s">
        <v>141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340.99999999999966</v>
      </c>
      <c r="S5" s="45">
        <f aca="true" t="shared" si="3" ref="S5:S68">IF(K5="",0,ROUNDDOWN((B5*C5)/(VLOOKUP(E5,$X$5:$AA$23,4,FALSE)*R5),-3))</f>
        <v>8000</v>
      </c>
      <c r="T5" s="46">
        <f>IF(Q5="勝ち",IF(H5="買い",(O5-J5)/VLOOKUP(E5,$X$5:$AA$23,3,FALSE),(J5-O5)/VLOOKUP(E5,$X$5:$AA$23,3,FALSE)),0)</f>
        <v>920.0000000000002</v>
      </c>
      <c r="U5" s="47">
        <f aca="true" t="shared" si="4" ref="U5:U68">IF(Q5="負け",IF(H5="買い",(O5-J5)/VLOOKUP(E5,$X$5:$AA$23,3,FALSE),(J5-O5)/VLOOKUP(E5,$X$5:$AA$23,3,FALSE)),0)</f>
        <v>0</v>
      </c>
      <c r="V5" s="48">
        <f aca="true" t="shared" si="5" ref="V5:V68">IF(Q5="保留中",-R5*S5*VLOOKUP(E5,$X$5:$AA$23,4,FALSE),IF(O5="","",S5*VLOOKUP(E5,$X$5:$AA$23,4,FALSE)*U5+S5*VLOOKUP(E5,$X$5:$AA$23,4,FALSE)*T5))</f>
        <v>73600.00000000001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1073600</v>
      </c>
      <c r="C6" s="204">
        <v>0.03</v>
      </c>
      <c r="D6" s="34" t="s">
        <v>119</v>
      </c>
      <c r="E6" s="35" t="s">
        <v>118</v>
      </c>
      <c r="F6" s="36" t="s">
        <v>116</v>
      </c>
      <c r="G6" s="36" t="s">
        <v>108</v>
      </c>
      <c r="H6" s="36" t="s">
        <v>115</v>
      </c>
      <c r="I6" s="37">
        <v>40425</v>
      </c>
      <c r="J6" s="38">
        <v>108.203</v>
      </c>
      <c r="K6" s="38">
        <v>106.75</v>
      </c>
      <c r="L6" s="39">
        <f t="shared" si="0"/>
        <v>108.373</v>
      </c>
      <c r="M6" s="36" t="s">
        <v>108</v>
      </c>
      <c r="N6" s="37">
        <v>40455</v>
      </c>
      <c r="O6" s="38">
        <v>113.73</v>
      </c>
      <c r="P6" s="53" t="s">
        <v>142</v>
      </c>
      <c r="Q6" s="43" t="str">
        <f t="shared" si="1"/>
        <v>勝ち</v>
      </c>
      <c r="R6" s="44">
        <f t="shared" si="2"/>
        <v>145.3000000000003</v>
      </c>
      <c r="S6" s="45">
        <f t="shared" si="3"/>
        <v>22000</v>
      </c>
      <c r="T6" s="46">
        <f aca="true" t="shared" si="6" ref="T6:T68">IF(Q6="勝ち",IF(H6="買い",(O6-J6)/VLOOKUP(E6,$X$5:$AA$23,3,FALSE),(J6-O6)/VLOOKUP(E6,$X$5:$AA$23,3,FALSE)),0)</f>
        <v>552.7</v>
      </c>
      <c r="U6" s="47">
        <f t="shared" si="4"/>
        <v>0</v>
      </c>
      <c r="V6" s="48">
        <f t="shared" si="5"/>
        <v>121594.00000000001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f aca="true" t="shared" si="8" ref="B7:B70">IF(V6="","",B6+V6)</f>
        <v>1195194</v>
      </c>
      <c r="C7" s="204">
        <v>0.03</v>
      </c>
      <c r="D7" s="34" t="s">
        <v>77</v>
      </c>
      <c r="E7" s="35" t="s">
        <v>118</v>
      </c>
      <c r="F7" s="36" t="s">
        <v>117</v>
      </c>
      <c r="G7" s="36" t="s">
        <v>108</v>
      </c>
      <c r="H7" s="36" t="s">
        <v>115</v>
      </c>
      <c r="I7" s="37">
        <v>40563</v>
      </c>
      <c r="J7" s="38">
        <v>111.904</v>
      </c>
      <c r="K7" s="38">
        <v>110.298</v>
      </c>
      <c r="L7" s="39">
        <f t="shared" si="0"/>
        <v>112.074</v>
      </c>
      <c r="M7" s="36" t="s">
        <v>108</v>
      </c>
      <c r="N7" s="37">
        <v>40589</v>
      </c>
      <c r="O7" s="38">
        <v>112.282</v>
      </c>
      <c r="P7" s="53" t="s">
        <v>142</v>
      </c>
      <c r="Q7" s="43" t="str">
        <f t="shared" si="1"/>
        <v>勝ち</v>
      </c>
      <c r="R7" s="44">
        <f t="shared" si="2"/>
        <v>160.59999999999945</v>
      </c>
      <c r="S7" s="45">
        <f t="shared" si="3"/>
        <v>22000</v>
      </c>
      <c r="T7" s="46">
        <f t="shared" si="6"/>
        <v>37.80000000000001</v>
      </c>
      <c r="U7" s="47">
        <f t="shared" si="4"/>
        <v>0</v>
      </c>
      <c r="V7" s="48">
        <f t="shared" si="5"/>
        <v>8316.000000000002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t="shared" si="8"/>
        <v>1203510</v>
      </c>
      <c r="C8" s="204">
        <v>0.03</v>
      </c>
      <c r="D8" s="34" t="s">
        <v>119</v>
      </c>
      <c r="E8" s="35" t="s">
        <v>118</v>
      </c>
      <c r="F8" s="36" t="s">
        <v>117</v>
      </c>
      <c r="G8" s="36" t="s">
        <v>108</v>
      </c>
      <c r="H8" s="36" t="s">
        <v>102</v>
      </c>
      <c r="I8" s="37">
        <v>40668</v>
      </c>
      <c r="J8" s="38">
        <v>116.132</v>
      </c>
      <c r="K8" s="38">
        <v>119.771</v>
      </c>
      <c r="L8" s="39">
        <f t="shared" si="0"/>
        <v>115.962</v>
      </c>
      <c r="M8" s="36" t="s">
        <v>108</v>
      </c>
      <c r="N8" s="37">
        <v>40794</v>
      </c>
      <c r="O8" s="38">
        <v>109.012</v>
      </c>
      <c r="P8" s="53" t="s">
        <v>141</v>
      </c>
      <c r="Q8" s="43" t="str">
        <f t="shared" si="1"/>
        <v>勝ち</v>
      </c>
      <c r="R8" s="44">
        <f t="shared" si="2"/>
        <v>363.8999999999996</v>
      </c>
      <c r="S8" s="45">
        <f t="shared" si="3"/>
        <v>9000</v>
      </c>
      <c r="T8" s="46">
        <f t="shared" si="6"/>
        <v>712.0000000000005</v>
      </c>
      <c r="U8" s="47">
        <f t="shared" si="4"/>
        <v>0</v>
      </c>
      <c r="V8" s="48">
        <f t="shared" si="5"/>
        <v>64080.000000000044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1267590</v>
      </c>
      <c r="C9" s="204">
        <v>0.03</v>
      </c>
      <c r="D9" s="34" t="s">
        <v>119</v>
      </c>
      <c r="E9" s="35" t="s">
        <v>118</v>
      </c>
      <c r="F9" s="36" t="s">
        <v>117</v>
      </c>
      <c r="G9" s="36" t="s">
        <v>108</v>
      </c>
      <c r="H9" s="36" t="s">
        <v>102</v>
      </c>
      <c r="I9" s="37">
        <v>40732</v>
      </c>
      <c r="J9" s="38">
        <v>114.648</v>
      </c>
      <c r="K9" s="232">
        <v>116.792</v>
      </c>
      <c r="L9" s="39">
        <f t="shared" si="0"/>
        <v>114.478</v>
      </c>
      <c r="M9" s="36" t="s">
        <v>108</v>
      </c>
      <c r="N9" s="233" t="s">
        <v>144</v>
      </c>
      <c r="O9" s="38">
        <v>111.219</v>
      </c>
      <c r="P9" s="53" t="s">
        <v>141</v>
      </c>
      <c r="Q9" s="43" t="str">
        <f t="shared" si="1"/>
        <v>勝ち</v>
      </c>
      <c r="R9" s="44">
        <f t="shared" si="2"/>
        <v>214.40000000000055</v>
      </c>
      <c r="S9" s="45">
        <f t="shared" si="3"/>
        <v>17000</v>
      </c>
      <c r="T9" s="46">
        <f t="shared" si="6"/>
        <v>342.9000000000002</v>
      </c>
      <c r="U9" s="47">
        <f t="shared" si="4"/>
        <v>0</v>
      </c>
      <c r="V9" s="48">
        <f t="shared" si="5"/>
        <v>58293.00000000004</v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  <v>1325883</v>
      </c>
      <c r="C10" s="204">
        <v>0.03</v>
      </c>
      <c r="D10" s="34" t="s">
        <v>119</v>
      </c>
      <c r="E10" s="35" t="s">
        <v>118</v>
      </c>
      <c r="F10" s="36" t="s">
        <v>117</v>
      </c>
      <c r="G10" s="36" t="s">
        <v>108</v>
      </c>
      <c r="H10" s="36" t="s">
        <v>102</v>
      </c>
      <c r="I10" s="37">
        <v>40794</v>
      </c>
      <c r="J10" s="38">
        <v>107.532</v>
      </c>
      <c r="K10" s="38">
        <v>109.012</v>
      </c>
      <c r="L10" s="39">
        <f t="shared" si="0"/>
        <v>107.362</v>
      </c>
      <c r="M10" s="36" t="s">
        <v>108</v>
      </c>
      <c r="N10" s="37">
        <v>40815</v>
      </c>
      <c r="O10" s="38">
        <v>104.912</v>
      </c>
      <c r="P10" s="53" t="s">
        <v>141</v>
      </c>
      <c r="Q10" s="43" t="str">
        <f t="shared" si="1"/>
        <v>勝ち</v>
      </c>
      <c r="R10" s="44">
        <f t="shared" si="2"/>
        <v>148.0000000000004</v>
      </c>
      <c r="S10" s="45">
        <f t="shared" si="3"/>
        <v>26000</v>
      </c>
      <c r="T10" s="46">
        <f t="shared" si="6"/>
        <v>261.99999999999903</v>
      </c>
      <c r="U10" s="47">
        <f t="shared" si="4"/>
        <v>0</v>
      </c>
      <c r="V10" s="48">
        <f t="shared" si="5"/>
        <v>68119.99999999975</v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  <v>1394002.9999999998</v>
      </c>
      <c r="C11" s="204">
        <v>0.03</v>
      </c>
      <c r="D11" s="34" t="s">
        <v>119</v>
      </c>
      <c r="E11" s="35" t="s">
        <v>118</v>
      </c>
      <c r="F11" s="36" t="s">
        <v>117</v>
      </c>
      <c r="G11" s="36" t="s">
        <v>108</v>
      </c>
      <c r="H11" s="36" t="s">
        <v>115</v>
      </c>
      <c r="I11" s="233" t="s">
        <v>143</v>
      </c>
      <c r="J11" s="38">
        <v>104.972</v>
      </c>
      <c r="K11" s="38">
        <v>102.706</v>
      </c>
      <c r="L11" s="39">
        <f t="shared" si="0"/>
        <v>105.142</v>
      </c>
      <c r="M11" s="36" t="s">
        <v>108</v>
      </c>
      <c r="N11" s="37">
        <v>40847</v>
      </c>
      <c r="O11" s="38">
        <v>106.897</v>
      </c>
      <c r="P11" s="53" t="s">
        <v>142</v>
      </c>
      <c r="Q11" s="43" t="str">
        <f t="shared" si="1"/>
        <v>勝ち</v>
      </c>
      <c r="R11" s="44">
        <f t="shared" si="2"/>
        <v>226.5999999999991</v>
      </c>
      <c r="S11" s="45">
        <f t="shared" si="3"/>
        <v>18000</v>
      </c>
      <c r="T11" s="46">
        <f t="shared" si="6"/>
        <v>192.50000000000114</v>
      </c>
      <c r="U11" s="47">
        <f t="shared" si="4"/>
        <v>0</v>
      </c>
      <c r="V11" s="48">
        <f t="shared" si="5"/>
        <v>34650.000000000204</v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  <v>1428653</v>
      </c>
      <c r="C12" s="204">
        <v>0.03</v>
      </c>
      <c r="D12" s="34" t="s">
        <v>119</v>
      </c>
      <c r="E12" s="35" t="s">
        <v>118</v>
      </c>
      <c r="F12" s="36" t="s">
        <v>117</v>
      </c>
      <c r="G12" s="36" t="s">
        <v>108</v>
      </c>
      <c r="H12" s="36" t="s">
        <v>102</v>
      </c>
      <c r="I12" s="37">
        <v>40861</v>
      </c>
      <c r="J12" s="38">
        <v>104.746</v>
      </c>
      <c r="K12" s="38">
        <v>106.685</v>
      </c>
      <c r="L12" s="39">
        <f t="shared" si="0"/>
        <v>104.576</v>
      </c>
      <c r="M12" s="36" t="s">
        <v>108</v>
      </c>
      <c r="N12" s="37">
        <v>40870</v>
      </c>
      <c r="O12" s="38">
        <v>104.115</v>
      </c>
      <c r="P12" s="53" t="s">
        <v>141</v>
      </c>
      <c r="Q12" s="43" t="str">
        <f t="shared" si="1"/>
        <v>勝ち</v>
      </c>
      <c r="R12" s="44">
        <f t="shared" si="2"/>
        <v>193.90000000000072</v>
      </c>
      <c r="S12" s="45">
        <f t="shared" si="3"/>
        <v>22000</v>
      </c>
      <c r="T12" s="46">
        <f t="shared" si="6"/>
        <v>63.10000000000002</v>
      </c>
      <c r="U12" s="47">
        <f t="shared" si="4"/>
        <v>0</v>
      </c>
      <c r="V12" s="48">
        <f t="shared" si="5"/>
        <v>13882.000000000005</v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  <v>1442535</v>
      </c>
      <c r="C13" s="204">
        <v>0.03</v>
      </c>
      <c r="D13" s="34" t="s">
        <v>119</v>
      </c>
      <c r="E13" s="35" t="s">
        <v>118</v>
      </c>
      <c r="F13" s="36" t="s">
        <v>117</v>
      </c>
      <c r="G13" s="36" t="s">
        <v>108</v>
      </c>
      <c r="H13" s="36" t="s">
        <v>102</v>
      </c>
      <c r="I13" s="37">
        <v>40889</v>
      </c>
      <c r="J13" s="38">
        <v>102.6</v>
      </c>
      <c r="K13" s="38">
        <v>103.92</v>
      </c>
      <c r="L13" s="39">
        <f t="shared" si="0"/>
        <v>102.42999999999999</v>
      </c>
      <c r="M13" s="36" t="s">
        <v>108</v>
      </c>
      <c r="N13" s="37">
        <v>40921</v>
      </c>
      <c r="O13" s="38">
        <v>98.779</v>
      </c>
      <c r="P13" s="53" t="s">
        <v>141</v>
      </c>
      <c r="Q13" s="43" t="str">
        <f t="shared" si="1"/>
        <v>勝ち</v>
      </c>
      <c r="R13" s="44">
        <f t="shared" si="2"/>
        <v>132.00000000000074</v>
      </c>
      <c r="S13" s="45">
        <f t="shared" si="3"/>
        <v>32000</v>
      </c>
      <c r="T13" s="46">
        <f t="shared" si="6"/>
        <v>382.0999999999998</v>
      </c>
      <c r="U13" s="47">
        <f t="shared" si="4"/>
        <v>0</v>
      </c>
      <c r="V13" s="48">
        <f t="shared" si="5"/>
        <v>122271.99999999994</v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  <v>1564807</v>
      </c>
      <c r="C14" s="204">
        <v>0.03</v>
      </c>
      <c r="D14" s="34" t="s">
        <v>119</v>
      </c>
      <c r="E14" s="35" t="s">
        <v>118</v>
      </c>
      <c r="F14" s="36" t="s">
        <v>117</v>
      </c>
      <c r="G14" s="36" t="s">
        <v>108</v>
      </c>
      <c r="H14" s="36" t="s">
        <v>115</v>
      </c>
      <c r="I14" s="37">
        <v>40942</v>
      </c>
      <c r="J14" s="38">
        <v>100.86</v>
      </c>
      <c r="K14" s="38">
        <v>99.911</v>
      </c>
      <c r="L14" s="39">
        <f t="shared" si="0"/>
        <v>101.03</v>
      </c>
      <c r="M14" s="36" t="s">
        <v>108</v>
      </c>
      <c r="N14" s="37">
        <v>41001</v>
      </c>
      <c r="O14" s="38">
        <v>108.94</v>
      </c>
      <c r="P14" s="53" t="s">
        <v>142</v>
      </c>
      <c r="Q14" s="43" t="str">
        <f t="shared" si="1"/>
        <v>勝ち</v>
      </c>
      <c r="R14" s="44">
        <f t="shared" si="2"/>
        <v>94.8999999999998</v>
      </c>
      <c r="S14" s="45">
        <f t="shared" si="3"/>
        <v>49000</v>
      </c>
      <c r="T14" s="46">
        <f t="shared" si="6"/>
        <v>807.9999999999998</v>
      </c>
      <c r="U14" s="47">
        <f t="shared" si="4"/>
        <v>0</v>
      </c>
      <c r="V14" s="48">
        <f t="shared" si="5"/>
        <v>395919.9999999999</v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  <v>1960727</v>
      </c>
      <c r="C15" s="204">
        <v>0.03</v>
      </c>
      <c r="D15" s="34" t="s">
        <v>119</v>
      </c>
      <c r="E15" s="35" t="s">
        <v>118</v>
      </c>
      <c r="F15" s="36" t="s">
        <v>117</v>
      </c>
      <c r="G15" s="36" t="s">
        <v>108</v>
      </c>
      <c r="H15" s="36" t="s">
        <v>102</v>
      </c>
      <c r="I15" s="37">
        <v>41025</v>
      </c>
      <c r="J15" s="38">
        <v>106.463</v>
      </c>
      <c r="K15" s="38">
        <v>107.641</v>
      </c>
      <c r="L15" s="39">
        <f t="shared" si="0"/>
        <v>106.29299999999999</v>
      </c>
      <c r="M15" s="36" t="s">
        <v>108</v>
      </c>
      <c r="N15" s="37">
        <v>41106</v>
      </c>
      <c r="O15" s="38">
        <v>97.262</v>
      </c>
      <c r="P15" s="53" t="s">
        <v>141</v>
      </c>
      <c r="Q15" s="43" t="str">
        <f t="shared" si="1"/>
        <v>勝ち</v>
      </c>
      <c r="R15" s="44">
        <f t="shared" si="2"/>
        <v>117.80000000000115</v>
      </c>
      <c r="S15" s="45">
        <f t="shared" si="3"/>
        <v>49000</v>
      </c>
      <c r="T15" s="46">
        <f t="shared" si="6"/>
        <v>920.0999999999993</v>
      </c>
      <c r="U15" s="47">
        <f t="shared" si="4"/>
        <v>0</v>
      </c>
      <c r="V15" s="48">
        <f t="shared" si="5"/>
        <v>450848.99999999965</v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  <v>2411575.9999999995</v>
      </c>
      <c r="C16" s="204">
        <v>0.03</v>
      </c>
      <c r="D16" s="34" t="s">
        <v>119</v>
      </c>
      <c r="E16" s="35" t="s">
        <v>118</v>
      </c>
      <c r="F16" s="36" t="s">
        <v>117</v>
      </c>
      <c r="G16" s="36" t="s">
        <v>108</v>
      </c>
      <c r="H16" s="36" t="s">
        <v>115</v>
      </c>
      <c r="I16" s="37">
        <v>41124</v>
      </c>
      <c r="J16" s="38">
        <v>97.385</v>
      </c>
      <c r="K16" s="38">
        <v>95.016</v>
      </c>
      <c r="L16" s="39">
        <f t="shared" si="0"/>
        <v>97.555</v>
      </c>
      <c r="M16" s="36" t="s">
        <v>108</v>
      </c>
      <c r="N16" s="37">
        <v>41204</v>
      </c>
      <c r="O16" s="38">
        <v>103.112</v>
      </c>
      <c r="P16" s="53" t="s">
        <v>162</v>
      </c>
      <c r="Q16" s="43" t="str">
        <f t="shared" si="1"/>
        <v>勝ち</v>
      </c>
      <c r="R16" s="44">
        <f t="shared" si="2"/>
        <v>236.89999999999998</v>
      </c>
      <c r="S16" s="45">
        <f t="shared" si="3"/>
        <v>30000</v>
      </c>
      <c r="T16" s="46">
        <f t="shared" si="6"/>
        <v>572.6999999999989</v>
      </c>
      <c r="U16" s="47">
        <f t="shared" si="4"/>
        <v>0</v>
      </c>
      <c r="V16" s="48">
        <f t="shared" si="5"/>
        <v>171809.99999999968</v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  <v>2583385.999999999</v>
      </c>
      <c r="C17" s="204">
        <v>0.03</v>
      </c>
      <c r="D17" s="34" t="s">
        <v>119</v>
      </c>
      <c r="E17" s="35" t="s">
        <v>118</v>
      </c>
      <c r="F17" s="36" t="s">
        <v>117</v>
      </c>
      <c r="G17" s="36" t="s">
        <v>108</v>
      </c>
      <c r="H17" s="36" t="s">
        <v>115</v>
      </c>
      <c r="I17" s="37">
        <v>41207</v>
      </c>
      <c r="J17" s="38">
        <v>104.403</v>
      </c>
      <c r="K17" s="38">
        <v>103.439</v>
      </c>
      <c r="L17" s="39">
        <f t="shared" si="0"/>
        <v>104.57300000000001</v>
      </c>
      <c r="M17" s="36" t="s">
        <v>108</v>
      </c>
      <c r="N17" s="37">
        <v>41261</v>
      </c>
      <c r="O17" s="38">
        <v>110.323</v>
      </c>
      <c r="P17" s="53" t="s">
        <v>142</v>
      </c>
      <c r="Q17" s="43" t="str">
        <f t="shared" si="1"/>
        <v>勝ち</v>
      </c>
      <c r="R17" s="44">
        <f t="shared" si="2"/>
        <v>96.40000000000128</v>
      </c>
      <c r="S17" s="45">
        <f t="shared" si="3"/>
        <v>80000</v>
      </c>
      <c r="T17" s="46">
        <f t="shared" si="6"/>
        <v>591.9999999999987</v>
      </c>
      <c r="U17" s="47">
        <f t="shared" si="4"/>
        <v>0</v>
      </c>
      <c r="V17" s="48">
        <f t="shared" si="5"/>
        <v>473599.999999999</v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  <v>3056985.999999998</v>
      </c>
      <c r="C18" s="204">
        <v>0.03</v>
      </c>
      <c r="D18" s="34" t="s">
        <v>119</v>
      </c>
      <c r="E18" s="35" t="s">
        <v>118</v>
      </c>
      <c r="F18" s="36" t="s">
        <v>117</v>
      </c>
      <c r="G18" s="36" t="s">
        <v>108</v>
      </c>
      <c r="H18" s="36" t="s">
        <v>115</v>
      </c>
      <c r="I18" s="278">
        <v>41274</v>
      </c>
      <c r="J18" s="38">
        <v>114.235</v>
      </c>
      <c r="K18" s="38">
        <v>113.164</v>
      </c>
      <c r="L18" s="39">
        <f t="shared" si="0"/>
        <v>114.405</v>
      </c>
      <c r="M18" s="36" t="s">
        <v>108</v>
      </c>
      <c r="N18" s="37">
        <v>41310</v>
      </c>
      <c r="O18" s="38">
        <v>123.999</v>
      </c>
      <c r="P18" s="53" t="s">
        <v>142</v>
      </c>
      <c r="Q18" s="43" t="str">
        <f t="shared" si="1"/>
        <v>勝ち</v>
      </c>
      <c r="R18" s="44">
        <f t="shared" si="2"/>
        <v>107.0999999999998</v>
      </c>
      <c r="S18" s="45">
        <f t="shared" si="3"/>
        <v>85000</v>
      </c>
      <c r="T18" s="46">
        <f t="shared" si="6"/>
        <v>976.3999999999995</v>
      </c>
      <c r="U18" s="47">
        <f t="shared" si="4"/>
        <v>0</v>
      </c>
      <c r="V18" s="48">
        <f t="shared" si="5"/>
        <v>829939.9999999997</v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  <v>3886925.9999999977</v>
      </c>
      <c r="C19" s="204">
        <v>0.03</v>
      </c>
      <c r="D19" s="34" t="s">
        <v>119</v>
      </c>
      <c r="E19" s="35" t="s">
        <v>118</v>
      </c>
      <c r="F19" s="36" t="s">
        <v>117</v>
      </c>
      <c r="G19" s="36" t="s">
        <v>108</v>
      </c>
      <c r="H19" s="36" t="s">
        <v>115</v>
      </c>
      <c r="I19" s="37">
        <v>41368</v>
      </c>
      <c r="J19" s="38">
        <v>124.621</v>
      </c>
      <c r="K19" s="38">
        <v>119.136</v>
      </c>
      <c r="L19" s="39">
        <f t="shared" si="0"/>
        <v>124.791</v>
      </c>
      <c r="M19" s="36" t="s">
        <v>108</v>
      </c>
      <c r="N19" s="37">
        <v>41415</v>
      </c>
      <c r="O19" s="38">
        <v>131.657</v>
      </c>
      <c r="P19" s="53" t="s">
        <v>142</v>
      </c>
      <c r="Q19" s="43" t="str">
        <f t="shared" si="1"/>
        <v>勝ち</v>
      </c>
      <c r="R19" s="44">
        <f t="shared" si="2"/>
        <v>548.4999999999999</v>
      </c>
      <c r="S19" s="45">
        <f t="shared" si="3"/>
        <v>21000</v>
      </c>
      <c r="T19" s="46">
        <f t="shared" si="6"/>
        <v>703.6000000000015</v>
      </c>
      <c r="U19" s="47">
        <f t="shared" si="4"/>
        <v>0</v>
      </c>
      <c r="V19" s="48">
        <f t="shared" si="5"/>
        <v>147756.00000000032</v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  <v>4034681.999999998</v>
      </c>
      <c r="C20" s="204">
        <v>0.03</v>
      </c>
      <c r="D20" s="34" t="s">
        <v>119</v>
      </c>
      <c r="E20" s="35" t="s">
        <v>118</v>
      </c>
      <c r="F20" s="36" t="s">
        <v>117</v>
      </c>
      <c r="G20" s="36" t="s">
        <v>108</v>
      </c>
      <c r="H20" s="36" t="s">
        <v>115</v>
      </c>
      <c r="I20" s="37">
        <v>41452</v>
      </c>
      <c r="J20" s="38">
        <v>128.361</v>
      </c>
      <c r="K20" s="38">
        <v>127.029</v>
      </c>
      <c r="L20" s="39">
        <f t="shared" si="0"/>
        <v>128.53099999999998</v>
      </c>
      <c r="M20" s="36" t="s">
        <v>108</v>
      </c>
      <c r="N20" s="37">
        <v>41479</v>
      </c>
      <c r="O20" s="38">
        <v>131.353</v>
      </c>
      <c r="P20" s="53" t="s">
        <v>142</v>
      </c>
      <c r="Q20" s="43" t="str">
        <f t="shared" si="1"/>
        <v>勝ち</v>
      </c>
      <c r="R20" s="44">
        <f t="shared" si="2"/>
        <v>133.19999999999936</v>
      </c>
      <c r="S20" s="45">
        <f t="shared" si="3"/>
        <v>90000</v>
      </c>
      <c r="T20" s="46">
        <f t="shared" si="6"/>
        <v>299.20000000000186</v>
      </c>
      <c r="U20" s="47">
        <f t="shared" si="4"/>
        <v>0</v>
      </c>
      <c r="V20" s="48">
        <f t="shared" si="5"/>
        <v>269280.0000000017</v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  <v>4303962</v>
      </c>
      <c r="C21" s="204">
        <v>0.03</v>
      </c>
      <c r="D21" s="34" t="s">
        <v>119</v>
      </c>
      <c r="E21" s="35" t="s">
        <v>118</v>
      </c>
      <c r="F21" s="36" t="s">
        <v>117</v>
      </c>
      <c r="G21" s="36" t="s">
        <v>108</v>
      </c>
      <c r="H21" s="36" t="s">
        <v>115</v>
      </c>
      <c r="I21" s="37">
        <v>41508</v>
      </c>
      <c r="J21" s="38">
        <v>131.946</v>
      </c>
      <c r="K21" s="38">
        <v>130.275</v>
      </c>
      <c r="L21" s="39">
        <f t="shared" si="0"/>
        <v>132.11599999999999</v>
      </c>
      <c r="M21" s="36" t="s">
        <v>108</v>
      </c>
      <c r="N21" s="37">
        <v>41511</v>
      </c>
      <c r="O21" s="38">
        <v>129.83</v>
      </c>
      <c r="P21" s="53" t="s">
        <v>163</v>
      </c>
      <c r="Q21" s="43" t="str">
        <f t="shared" si="1"/>
        <v>負け</v>
      </c>
      <c r="R21" s="44">
        <f t="shared" si="2"/>
        <v>167.09999999999923</v>
      </c>
      <c r="S21" s="45">
        <f t="shared" si="3"/>
        <v>77000</v>
      </c>
      <c r="T21" s="46">
        <f t="shared" si="6"/>
        <v>0</v>
      </c>
      <c r="U21" s="47">
        <f t="shared" si="4"/>
        <v>-211.59999999999854</v>
      </c>
      <c r="V21" s="48">
        <f t="shared" si="5"/>
        <v>-162931.9999999989</v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  <v>4141030.000000001</v>
      </c>
      <c r="C22" s="204">
        <v>0.03</v>
      </c>
      <c r="D22" s="34" t="s">
        <v>119</v>
      </c>
      <c r="E22" s="35" t="s">
        <v>118</v>
      </c>
      <c r="F22" s="36" t="s">
        <v>117</v>
      </c>
      <c r="G22" s="36" t="s">
        <v>108</v>
      </c>
      <c r="H22" s="36" t="s">
        <v>115</v>
      </c>
      <c r="I22" s="278">
        <v>41563</v>
      </c>
      <c r="J22" s="38">
        <v>133.738</v>
      </c>
      <c r="K22" s="38">
        <v>132.732</v>
      </c>
      <c r="L22" s="39">
        <f t="shared" si="0"/>
        <v>133.908</v>
      </c>
      <c r="M22" s="36" t="s">
        <v>108</v>
      </c>
      <c r="N22" s="278">
        <v>41583</v>
      </c>
      <c r="O22" s="38">
        <v>132.358</v>
      </c>
      <c r="P22" s="53" t="s">
        <v>163</v>
      </c>
      <c r="Q22" s="43" t="str">
        <f t="shared" si="1"/>
        <v>負け</v>
      </c>
      <c r="R22" s="44">
        <f t="shared" si="2"/>
        <v>100.60000000000002</v>
      </c>
      <c r="S22" s="45">
        <f t="shared" si="3"/>
        <v>123000</v>
      </c>
      <c r="T22" s="46">
        <f t="shared" si="6"/>
        <v>0</v>
      </c>
      <c r="U22" s="47">
        <f t="shared" si="4"/>
        <v>-137.99999999999955</v>
      </c>
      <c r="V22" s="48">
        <f t="shared" si="5"/>
        <v>-169739.99999999945</v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  <v>3971290.0000000014</v>
      </c>
      <c r="C23" s="204">
        <v>0.03</v>
      </c>
      <c r="D23" s="34" t="s">
        <v>119</v>
      </c>
      <c r="E23" s="35" t="s">
        <v>118</v>
      </c>
      <c r="F23" s="36" t="s">
        <v>117</v>
      </c>
      <c r="G23" s="36" t="s">
        <v>108</v>
      </c>
      <c r="H23" s="36" t="s">
        <v>102</v>
      </c>
      <c r="I23" s="278">
        <v>41585</v>
      </c>
      <c r="J23" s="38">
        <v>131.213</v>
      </c>
      <c r="K23" s="38">
        <v>133.517</v>
      </c>
      <c r="L23" s="39">
        <f t="shared" si="0"/>
        <v>131.043</v>
      </c>
      <c r="M23" s="36" t="s">
        <v>108</v>
      </c>
      <c r="N23" s="37">
        <v>41584</v>
      </c>
      <c r="O23" s="38">
        <v>133.999</v>
      </c>
      <c r="P23" s="53" t="s">
        <v>163</v>
      </c>
      <c r="Q23" s="43" t="str">
        <f t="shared" si="1"/>
        <v>負け</v>
      </c>
      <c r="R23" s="44">
        <f t="shared" si="2"/>
        <v>230.4000000000002</v>
      </c>
      <c r="S23" s="45">
        <f t="shared" si="3"/>
        <v>51000</v>
      </c>
      <c r="T23" s="46">
        <f t="shared" si="6"/>
        <v>0</v>
      </c>
      <c r="U23" s="47">
        <f t="shared" si="4"/>
        <v>-278.60000000000014</v>
      </c>
      <c r="V23" s="48">
        <f t="shared" si="5"/>
        <v>-142086.00000000006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  <v>3829204.0000000014</v>
      </c>
      <c r="C24" s="204">
        <v>0.03</v>
      </c>
      <c r="D24" s="34" t="s">
        <v>119</v>
      </c>
      <c r="E24" s="35" t="s">
        <v>118</v>
      </c>
      <c r="F24" s="36" t="s">
        <v>117</v>
      </c>
      <c r="G24" s="36" t="s">
        <v>108</v>
      </c>
      <c r="H24" s="36" t="s">
        <v>115</v>
      </c>
      <c r="I24" s="37">
        <v>41592</v>
      </c>
      <c r="J24" s="38">
        <v>134.688</v>
      </c>
      <c r="K24" s="38">
        <v>133.665</v>
      </c>
      <c r="L24" s="39">
        <f t="shared" si="0"/>
        <v>134.85799999999998</v>
      </c>
      <c r="M24" s="36" t="s">
        <v>108</v>
      </c>
      <c r="N24" s="37">
        <v>41626</v>
      </c>
      <c r="O24" s="38">
        <v>141.213</v>
      </c>
      <c r="P24" s="53" t="s">
        <v>142</v>
      </c>
      <c r="Q24" s="43" t="str">
        <f t="shared" si="1"/>
        <v>勝ち</v>
      </c>
      <c r="R24" s="44">
        <f t="shared" si="2"/>
        <v>102.29999999999961</v>
      </c>
      <c r="S24" s="45">
        <f t="shared" si="3"/>
        <v>112000</v>
      </c>
      <c r="T24" s="46">
        <f t="shared" si="6"/>
        <v>652.5000000000006</v>
      </c>
      <c r="U24" s="47">
        <f t="shared" si="4"/>
        <v>0</v>
      </c>
      <c r="V24" s="48">
        <f t="shared" si="5"/>
        <v>730800.0000000006</v>
      </c>
    </row>
    <row r="25" spans="1:22" ht="13.5">
      <c r="A25" s="52">
        <v>21</v>
      </c>
      <c r="B25" s="209">
        <f t="shared" si="8"/>
        <v>4560004.000000002</v>
      </c>
      <c r="C25" s="204">
        <v>0.03</v>
      </c>
      <c r="D25" s="34" t="s">
        <v>119</v>
      </c>
      <c r="E25" s="35" t="s">
        <v>118</v>
      </c>
      <c r="F25" s="36" t="s">
        <v>117</v>
      </c>
      <c r="G25" s="36" t="s">
        <v>108</v>
      </c>
      <c r="H25" s="36" t="s">
        <v>102</v>
      </c>
      <c r="I25" s="37">
        <v>41649</v>
      </c>
      <c r="J25" s="38">
        <v>142.047</v>
      </c>
      <c r="K25" s="38">
        <v>142.946</v>
      </c>
      <c r="L25" s="39">
        <f t="shared" si="0"/>
        <v>141.877</v>
      </c>
      <c r="M25" s="36" t="s">
        <v>108</v>
      </c>
      <c r="N25" s="37">
        <v>41668</v>
      </c>
      <c r="O25" s="38">
        <v>141.261</v>
      </c>
      <c r="P25" s="53" t="s">
        <v>141</v>
      </c>
      <c r="Q25" s="43" t="str">
        <f t="shared" si="1"/>
        <v>勝ち</v>
      </c>
      <c r="R25" s="44">
        <f t="shared" si="2"/>
        <v>89.90000000000009</v>
      </c>
      <c r="S25" s="45">
        <f t="shared" si="3"/>
        <v>152000</v>
      </c>
      <c r="T25" s="46">
        <f t="shared" si="6"/>
        <v>78.60000000000014</v>
      </c>
      <c r="U25" s="47">
        <f t="shared" si="4"/>
        <v>0</v>
      </c>
      <c r="V25" s="48">
        <f t="shared" si="5"/>
        <v>119472.0000000002</v>
      </c>
    </row>
    <row r="26" spans="1:22" ht="13.5">
      <c r="A26" s="52">
        <v>22</v>
      </c>
      <c r="B26" s="209">
        <f t="shared" si="8"/>
        <v>4679476.000000002</v>
      </c>
      <c r="C26" s="204">
        <v>0.03</v>
      </c>
      <c r="D26" s="34" t="s">
        <v>119</v>
      </c>
      <c r="E26" s="35" t="s">
        <v>118</v>
      </c>
      <c r="F26" s="36" t="s">
        <v>117</v>
      </c>
      <c r="G26" s="36" t="s">
        <v>108</v>
      </c>
      <c r="H26" s="36" t="s">
        <v>115</v>
      </c>
      <c r="I26" s="37">
        <v>41676</v>
      </c>
      <c r="J26" s="38">
        <v>138.812</v>
      </c>
      <c r="K26" s="38">
        <v>136.744</v>
      </c>
      <c r="L26" s="39">
        <f t="shared" si="0"/>
        <v>138.982</v>
      </c>
      <c r="M26" s="36" t="s">
        <v>108</v>
      </c>
      <c r="N26" s="37">
        <v>41698</v>
      </c>
      <c r="O26" s="38">
        <v>139.107</v>
      </c>
      <c r="P26" s="53" t="s">
        <v>142</v>
      </c>
      <c r="Q26" s="43" t="str">
        <f t="shared" si="1"/>
        <v>勝ち</v>
      </c>
      <c r="R26" s="44">
        <f t="shared" si="2"/>
        <v>206.8000000000012</v>
      </c>
      <c r="S26" s="45">
        <f t="shared" si="3"/>
        <v>67000</v>
      </c>
      <c r="T26" s="46">
        <f t="shared" si="6"/>
        <v>29.49999999999875</v>
      </c>
      <c r="U26" s="47">
        <f t="shared" si="4"/>
        <v>0</v>
      </c>
      <c r="V26" s="48">
        <f t="shared" si="5"/>
        <v>19764.999999999163</v>
      </c>
    </row>
    <row r="27" spans="1:22" ht="13.5">
      <c r="A27" s="52">
        <v>23</v>
      </c>
      <c r="B27" s="209">
        <f t="shared" si="8"/>
        <v>4699241.000000001</v>
      </c>
      <c r="C27" s="204">
        <v>0.03</v>
      </c>
      <c r="D27" s="34" t="s">
        <v>119</v>
      </c>
      <c r="E27" s="35" t="s">
        <v>118</v>
      </c>
      <c r="F27" s="36" t="s">
        <v>117</v>
      </c>
      <c r="G27" s="36" t="s">
        <v>108</v>
      </c>
      <c r="H27" s="36" t="s">
        <v>102</v>
      </c>
      <c r="I27" s="37">
        <v>41767</v>
      </c>
      <c r="J27" s="38">
        <v>140.512</v>
      </c>
      <c r="K27" s="38">
        <v>142.354</v>
      </c>
      <c r="L27" s="39">
        <f t="shared" si="0"/>
        <v>140.342</v>
      </c>
      <c r="M27" s="36" t="s">
        <v>108</v>
      </c>
      <c r="N27" s="37">
        <v>41816</v>
      </c>
      <c r="O27" s="38">
        <v>138.828</v>
      </c>
      <c r="P27" s="53" t="s">
        <v>141</v>
      </c>
      <c r="Q27" s="43" t="str">
        <f t="shared" si="1"/>
        <v>勝ち</v>
      </c>
      <c r="R27" s="44">
        <f t="shared" si="2"/>
        <v>184.2000000000013</v>
      </c>
      <c r="S27" s="45">
        <f t="shared" si="3"/>
        <v>76000</v>
      </c>
      <c r="T27" s="46">
        <f t="shared" si="6"/>
        <v>168.39999999999975</v>
      </c>
      <c r="U27" s="47">
        <f t="shared" si="4"/>
        <v>0</v>
      </c>
      <c r="V27" s="48">
        <f t="shared" si="5"/>
        <v>127983.99999999981</v>
      </c>
    </row>
    <row r="28" spans="1:22" ht="13.5">
      <c r="A28" s="52">
        <v>24</v>
      </c>
      <c r="B28" s="209">
        <f t="shared" si="8"/>
        <v>4827225.000000001</v>
      </c>
      <c r="C28" s="204">
        <v>0.03</v>
      </c>
      <c r="D28" s="34" t="s">
        <v>119</v>
      </c>
      <c r="E28" s="35" t="s">
        <v>118</v>
      </c>
      <c r="F28" s="36" t="s">
        <v>117</v>
      </c>
      <c r="G28" s="36" t="s">
        <v>108</v>
      </c>
      <c r="H28" s="36" t="s">
        <v>102</v>
      </c>
      <c r="I28" s="37">
        <v>41830</v>
      </c>
      <c r="J28" s="38">
        <v>137.486</v>
      </c>
      <c r="K28" s="38">
        <v>138.657</v>
      </c>
      <c r="L28" s="39">
        <f t="shared" si="0"/>
        <v>137.316</v>
      </c>
      <c r="M28" s="36" t="s">
        <v>108</v>
      </c>
      <c r="N28" s="37">
        <v>41842</v>
      </c>
      <c r="O28" s="38">
        <v>137.325</v>
      </c>
      <c r="P28" s="53" t="s">
        <v>141</v>
      </c>
      <c r="Q28" s="43" t="str">
        <f t="shared" si="1"/>
        <v>勝ち</v>
      </c>
      <c r="R28" s="44">
        <f t="shared" si="2"/>
        <v>117.10000000000207</v>
      </c>
      <c r="S28" s="45">
        <f t="shared" si="3"/>
        <v>123000</v>
      </c>
      <c r="T28" s="46">
        <f t="shared" si="6"/>
        <v>16.100000000000136</v>
      </c>
      <c r="U28" s="47">
        <f t="shared" si="4"/>
        <v>0</v>
      </c>
      <c r="V28" s="48">
        <f t="shared" si="5"/>
        <v>19803.000000000167</v>
      </c>
    </row>
    <row r="29" spans="1:22" ht="13.5">
      <c r="A29" s="52">
        <v>25</v>
      </c>
      <c r="B29" s="209">
        <f t="shared" si="8"/>
        <v>4847028.000000001</v>
      </c>
      <c r="C29" s="204">
        <v>0.03</v>
      </c>
      <c r="D29" s="34" t="s">
        <v>119</v>
      </c>
      <c r="E29" s="35" t="s">
        <v>118</v>
      </c>
      <c r="F29" s="36" t="s">
        <v>117</v>
      </c>
      <c r="G29" s="36" t="s">
        <v>108</v>
      </c>
      <c r="H29" s="36" t="s">
        <v>115</v>
      </c>
      <c r="I29" s="37">
        <v>41940</v>
      </c>
      <c r="J29" s="38">
        <v>137.784</v>
      </c>
      <c r="K29" s="38">
        <v>136.856</v>
      </c>
      <c r="L29" s="39">
        <f t="shared" si="0"/>
        <v>137.95399999999998</v>
      </c>
      <c r="M29" s="36" t="s">
        <v>108</v>
      </c>
      <c r="N29" s="37">
        <v>41977</v>
      </c>
      <c r="O29" s="38">
        <v>147.288</v>
      </c>
      <c r="P29" s="53" t="s">
        <v>141</v>
      </c>
      <c r="Q29" s="43" t="str">
        <f t="shared" si="1"/>
        <v>勝ち</v>
      </c>
      <c r="R29" s="44">
        <f t="shared" si="2"/>
        <v>92.79999999999973</v>
      </c>
      <c r="S29" s="45">
        <f t="shared" si="3"/>
        <v>156000</v>
      </c>
      <c r="T29" s="46">
        <f t="shared" si="6"/>
        <v>950.4000000000019</v>
      </c>
      <c r="U29" s="47">
        <f t="shared" si="4"/>
        <v>0</v>
      </c>
      <c r="V29" s="48">
        <f t="shared" si="5"/>
        <v>1482624.000000003</v>
      </c>
    </row>
    <row r="30" spans="1:22" ht="13.5">
      <c r="A30" s="52">
        <v>26</v>
      </c>
      <c r="B30" s="209">
        <f t="shared" si="8"/>
        <v>6329652.000000004</v>
      </c>
      <c r="C30" s="204">
        <v>0.02</v>
      </c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 t="s">
        <v>142</v>
      </c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53">
        <f>SUM(T5:T124)+SUM(U5:U124)</f>
        <v>9604.400000000003</v>
      </c>
      <c r="U125" s="253"/>
      <c r="V125" s="77">
        <f>SUM(V5:V124)</f>
        <v>5329652.000000005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54" t="s">
        <v>34</v>
      </c>
      <c r="G128" s="255"/>
      <c r="H128" s="256"/>
      <c r="J128" s="257" t="s">
        <v>82</v>
      </c>
      <c r="K128" s="258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59"/>
      <c r="H129" s="260"/>
      <c r="J129" s="218" t="s">
        <v>111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61">
        <f>COUNTIF(H5:H124,"買い")</f>
        <v>14</v>
      </c>
      <c r="H130" s="262"/>
      <c r="J130" s="218" t="s">
        <v>112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61">
        <f>COUNTIF(H5:H124,"売り")</f>
        <v>11</v>
      </c>
      <c r="H131" s="262"/>
      <c r="J131" s="218" t="s">
        <v>113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61">
        <f>G130+G131</f>
        <v>25</v>
      </c>
      <c r="H132" s="262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61">
        <f>COUNTIF(Q5:Q124,"勝ち")</f>
        <v>22</v>
      </c>
      <c r="H133" s="262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8">
        <f>COUNTIF(Q5:Q124,"負け")</f>
        <v>3</v>
      </c>
      <c r="H134" s="269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8">
        <f>COUNTIF(Q5:Q124,"ドロー")</f>
        <v>0</v>
      </c>
      <c r="H135" s="269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8">
        <f>COUNTIF(Q5:Q124,"保留中")</f>
        <v>0</v>
      </c>
      <c r="H136" s="269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64">
        <f>SUMIF(Q5:Q124,"勝ち",V5:V124)</f>
        <v>5804410.000000003</v>
      </c>
      <c r="H137" s="265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76">
        <f>SUMIF(Q5:Q124,"負け",V5:V124)</f>
        <v>-474757.9999999984</v>
      </c>
      <c r="H138" s="277"/>
      <c r="J138" s="263" t="s">
        <v>51</v>
      </c>
      <c r="K138" s="263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64">
        <f>G137+G138</f>
        <v>5329652.000000005</v>
      </c>
      <c r="H139" s="265"/>
      <c r="J139" s="201" t="s">
        <v>104</v>
      </c>
      <c r="K139" s="82">
        <f aca="true" t="shared" si="19" ref="K139:K144">COUNTIF($F$5:$F$124,J139)</f>
        <v>25</v>
      </c>
      <c r="L139" s="82">
        <f>_xlfn.COUNTIFS($H$5:$H$124,"買い",$F$5:$F$124,J139)</f>
        <v>14</v>
      </c>
      <c r="M139" s="83">
        <f>_xlfn.COUNTIFS($F$5:$F$124,J139,$H$5:$H$124,"売り")</f>
        <v>11</v>
      </c>
      <c r="N139" s="84">
        <f aca="true" t="shared" si="20" ref="N139:N144">SUMIF($F$5:$F$124,J139,$T$5:$T$124)+SUMIF($F$5:$F$124,J139,$U$5:$U$124)</f>
        <v>9604.400000000003</v>
      </c>
      <c r="O139" s="160">
        <f>_xlfn.COUNTIFS($Q$5:$Q$124,"勝ち",$F$5:$F$124,J139)/(COUNTIF($F$5:$F$124,J139)-_xlfn.COUNTIFS($F$5:$F$124,J139,$Q$5:$Q$124,"ドロー"))*100</f>
        <v>88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66">
        <f>G137/COUNTA(H5:H124)</f>
        <v>232176.4000000001</v>
      </c>
      <c r="H140" s="267"/>
      <c r="J140" s="218" t="s">
        <v>110</v>
      </c>
      <c r="K140" s="82">
        <f t="shared" si="19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20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66">
        <f>G139/COUNTA(H5:H124)</f>
        <v>213186.0800000002</v>
      </c>
      <c r="H141" s="267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70"/>
      <c r="H142" s="271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70"/>
      <c r="H143" s="271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72">
        <f>MAX(T5:T124)</f>
        <v>976.3999999999995</v>
      </c>
      <c r="H144" s="273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74">
        <f>G133/(G132-G135)</f>
        <v>0.88</v>
      </c>
      <c r="H145" s="275"/>
      <c r="J145" s="85" t="s">
        <v>33</v>
      </c>
      <c r="K145" s="86">
        <f>SUM(K139:K144)</f>
        <v>25</v>
      </c>
      <c r="L145" s="86">
        <f>SUM(L139:L144)</f>
        <v>14</v>
      </c>
      <c r="M145" s="86">
        <f>SUM(M139:M144)</f>
        <v>11</v>
      </c>
      <c r="N145" s="80">
        <f>SUM(N139:N144)</f>
        <v>9604.400000000003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2015-09-07T21:58:24Z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