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30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デモトレード用_AUDJPY_1日足" sheetId="5" r:id="rId5"/>
    <sheet name="過去検証用_AUDJPY_1日足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<sst xmlns="http://schemas.openxmlformats.org/spreadsheetml/2006/main" count="406" uniqueCount="140">
  <si>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</si>
  <si>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</si>
  <si>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</si>
  <si>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</si>
  <si>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</si>
  <si>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</si>
  <si>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</si>
  <si>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</si>
  <si>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</si>
  <si>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</si>
  <si>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</si>
  <si>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</si>
  <si>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</si>
  <si>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</si>
  <si>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</si>
  <si>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</si>
  <si>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</si>
  <si>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</si>
  <si>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</si>
  <si>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</si>
  <si>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</si>
  <si>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</si>
  <si>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</si>
  <si>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</si>
  <si>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</si>
  <si>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</si>
  <si>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</si>
  <si>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</si>
  <si>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</si>
  <si>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</si>
  <si>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</si>
  <si>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</si>
  <si>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</si>
  <si>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</si>
  <si>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</si>
  <si>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</si>
  <si>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</si>
  <si>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</si>
  <si>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</si>
  <si>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</si>
  <si>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</si>
  <si>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</si>
  <si>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</si>
  <si>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</si>
  <si>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</si>
  <si>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</si>
  <si>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</si>
  <si>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</si>
  <si>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</si>
  <si>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</si>
  <si>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</si>
  <si>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</si>
  <si>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</si>
  <si>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</si>
  <si>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</si>
  <si>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</si>
  <si>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</si>
  <si>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</si>
  <si>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</si>
  <si>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</si>
  <si>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</si>
  <si>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</si>
  <si>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</si>
  <si>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</si>
  <si>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</si>
  <si>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</si>
  <si>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</si>
  <si>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</si>
  <si>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</si>
  <si>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</si>
  <si>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</si>
  <si>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</si>
  <si>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</si>
  <si>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</si>
  <si>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</si>
  <si>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</si>
  <si>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</si>
  <si>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</si>
  <si>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</si>
  <si>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</si>
  <si>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</si>
  <si>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</si>
  <si>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</si>
  <si>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</si>
  <si>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</si>
  <si>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</si>
  <si>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</si>
  <si>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</si>
  <si>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</si>
  <si>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</si>
  <si>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</si>
  <si>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</si>
  <si>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</si>
  <si>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</si>
  <si>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</si>
  <si>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</si>
  <si>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</si>
  <si>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</si>
  <si>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</si>
  <si>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</si>
  <si>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</si>
  <si>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</si>
  <si>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</si>
  <si>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</si>
  <si>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</si>
  <si>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トレーリング</t>
  </si>
  <si>
    <t>ロスカット値</t>
  </si>
  <si>
    <t>エントリー値</t>
  </si>
  <si>
    <t>1日足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</si>
  <si>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</si>
  <si>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</si>
  <si>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</si>
  <si>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</si>
  <si>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</si>
  <si>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</si>
  <si>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AUD</t>
  </si>
  <si>
    <t>買い</t>
  </si>
  <si>
    <t>EB</t>
  </si>
  <si>
    <t>AUD</t>
  </si>
  <si>
    <t>USD</t>
  </si>
  <si>
    <t>EB</t>
  </si>
  <si>
    <t>ストップ切り上げ</t>
  </si>
  <si>
    <t>ストップ切り下げ</t>
  </si>
  <si>
    <t>損切り</t>
  </si>
  <si>
    <t>7番目の画像です</t>
  </si>
  <si>
    <t>途中赤丸はストップを上げているといことです</t>
  </si>
  <si>
    <t>10番目の画像です</t>
  </si>
  <si>
    <t>12番目の画像です</t>
  </si>
  <si>
    <t>右に二つ囲みがあるのは、どちらがよりよいＥＢのなるのか聞いてみたくて、わかりやすく囲みました。</t>
  </si>
  <si>
    <t>私は、左のもので決済しました。</t>
  </si>
  <si>
    <t>ピンゴルフィンバーというやつかなと思ったからです。</t>
  </si>
  <si>
    <t>ただ、ＭＡには触れていないので迷いました・・・。</t>
  </si>
  <si>
    <t>どちらがより良いと思われますでしょうか？</t>
  </si>
  <si>
    <t>21番目の画像です</t>
  </si>
  <si>
    <t>どうしても、大きな囲みで入って、決済もかける</t>
  </si>
  <si>
    <t>というわかりやすいものを選びたくなるのですが、これだけ大きいと、</t>
  </si>
  <si>
    <t>わかりやすい半面、ストップの計算幅も大きくなって、利益が減る気がします。</t>
  </si>
  <si>
    <t>本当はこれだけ大きいものは、実践になると、わかりやすくても避けたほうが賢明なのでしょうか？</t>
  </si>
  <si>
    <t>23番目の画像です。</t>
  </si>
  <si>
    <t>赤丸はストップを上げたということです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</si>
</sst>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99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10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676275</xdr:colOff>
      <xdr:row>19</xdr:row>
      <xdr:rowOff>123825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484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2</xdr:col>
      <xdr:colOff>180975</xdr:colOff>
      <xdr:row>33</xdr:row>
      <xdr:rowOff>57150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1552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3</xdr:col>
      <xdr:colOff>133350</xdr:colOff>
      <xdr:row>59</xdr:row>
      <xdr:rowOff>114300</xdr:rowOff>
    </xdr:to>
    <xdr:pic>
      <xdr:nvPicPr>
        <xdr:cNvPr id="3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15100"/>
          <a:ext cx="21907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609600</xdr:colOff>
      <xdr:row>77</xdr:row>
      <xdr:rowOff>66675</xdr:rowOff>
    </xdr:to>
    <xdr:pic>
      <xdr:nvPicPr>
        <xdr:cNvPr id="4" name="Picture 4" descr="image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144250"/>
          <a:ext cx="12954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542925</xdr:colOff>
      <xdr:row>89</xdr:row>
      <xdr:rowOff>19050</xdr:rowOff>
    </xdr:to>
    <xdr:pic>
      <xdr:nvPicPr>
        <xdr:cNvPr id="5" name="Picture 5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8874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2" t="s">
        <v>0</v>
      </c>
      <c r="E1" s="233"/>
      <c r="F1" s="234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5">
        <v>500000</v>
      </c>
      <c r="E2" s="235"/>
      <c r="F2" s="235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6">
        <f>SUM(D2+F36)</f>
        <v>500000</v>
      </c>
      <c r="E3" s="236"/>
      <c r="F3" s="237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38" t="s">
        <v>87</v>
      </c>
      <c r="B36" s="239"/>
      <c r="C36" s="240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1:M83"/>
  <sheetViews>
    <sheetView tabSelected="1" zoomScalePageLayoutView="0" workbookViewId="0" topLeftCell="A67">
      <selection activeCell="N91" sqref="N91"/>
    </sheetView>
  </sheetViews>
  <sheetFormatPr defaultColWidth="9.00390625" defaultRowHeight="13.5"/>
  <sheetData>
    <row r="1" ht="13.5">
      <c r="M1" t="s">
        <v>124</v>
      </c>
    </row>
    <row r="2" ht="13.5">
      <c r="M2" t="s">
        <v>125</v>
      </c>
    </row>
    <row r="25" ht="13.5">
      <c r="M25" t="s">
        <v>126</v>
      </c>
    </row>
    <row r="39" ht="13.5">
      <c r="L39" t="s">
        <v>127</v>
      </c>
    </row>
    <row r="42" ht="13.5">
      <c r="L42" t="s">
        <v>128</v>
      </c>
    </row>
    <row r="44" ht="13.5">
      <c r="L44" t="s">
        <v>129</v>
      </c>
    </row>
    <row r="45" ht="13.5">
      <c r="L45" t="s">
        <v>130</v>
      </c>
    </row>
    <row r="47" ht="13.5">
      <c r="L47" t="s">
        <v>131</v>
      </c>
    </row>
    <row r="49" ht="13.5">
      <c r="L49" t="s">
        <v>132</v>
      </c>
    </row>
    <row r="66" ht="13.5">
      <c r="L66" t="s">
        <v>133</v>
      </c>
    </row>
    <row r="67" ht="13.5">
      <c r="L67" t="s">
        <v>134</v>
      </c>
    </row>
    <row r="68" ht="13.5">
      <c r="L68" t="s">
        <v>135</v>
      </c>
    </row>
    <row r="69" ht="13.5">
      <c r="L69" t="s">
        <v>136</v>
      </c>
    </row>
    <row r="71" ht="13.5">
      <c r="L71" t="s">
        <v>137</v>
      </c>
    </row>
    <row r="82" ht="13.5">
      <c r="L82" t="s">
        <v>138</v>
      </c>
    </row>
    <row r="83" ht="13.5">
      <c r="L83" t="s">
        <v>139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2"/>
      <c r="Q3" s="243"/>
      <c r="R3" s="243"/>
      <c r="S3" s="243"/>
      <c r="T3" s="243"/>
      <c r="U3" s="243"/>
      <c r="V3" s="243"/>
    </row>
    <row r="4" spans="1:22" ht="13.5">
      <c r="A4" s="154"/>
      <c r="B4" s="241"/>
      <c r="C4" s="241"/>
      <c r="D4" s="241"/>
      <c r="P4" s="243"/>
      <c r="Q4" s="243"/>
      <c r="R4" s="243"/>
      <c r="S4" s="243"/>
      <c r="T4" s="243"/>
      <c r="U4" s="243"/>
      <c r="V4" s="243"/>
    </row>
    <row r="5" spans="1:22" ht="13.5">
      <c r="A5" s="154"/>
      <c r="B5" s="241"/>
      <c r="C5" s="241"/>
      <c r="D5" s="241"/>
      <c r="P5" s="243"/>
      <c r="Q5" s="243"/>
      <c r="R5" s="243"/>
      <c r="S5" s="243"/>
      <c r="T5" s="243"/>
      <c r="U5" s="243"/>
      <c r="V5" s="243"/>
    </row>
    <row r="6" spans="1:22" ht="13.5">
      <c r="A6" s="155"/>
      <c r="B6" s="241"/>
      <c r="C6" s="241"/>
      <c r="D6" s="241"/>
      <c r="P6" s="243"/>
      <c r="Q6" s="243"/>
      <c r="R6" s="243"/>
      <c r="S6" s="243"/>
      <c r="T6" s="243"/>
      <c r="U6" s="243"/>
      <c r="V6" s="243"/>
    </row>
    <row r="7" spans="1:22" ht="13.5">
      <c r="A7" s="154"/>
      <c r="G7" s="156"/>
      <c r="P7" s="243"/>
      <c r="Q7" s="243"/>
      <c r="R7" s="243"/>
      <c r="S7" s="243"/>
      <c r="T7" s="243"/>
      <c r="U7" s="243"/>
      <c r="V7" s="243"/>
    </row>
    <row r="8" spans="1:22" ht="13.5">
      <c r="A8" s="154" t="s">
        <v>55</v>
      </c>
      <c r="P8" s="243"/>
      <c r="Q8" s="243"/>
      <c r="R8" s="243"/>
      <c r="S8" s="243"/>
      <c r="T8" s="243"/>
      <c r="U8" s="243"/>
      <c r="V8" s="243"/>
    </row>
    <row r="9" spans="16:22" ht="8.25" customHeight="1">
      <c r="P9" s="243"/>
      <c r="Q9" s="243"/>
      <c r="R9" s="243"/>
      <c r="S9" s="243"/>
      <c r="T9" s="243"/>
      <c r="U9" s="243"/>
      <c r="V9" s="243"/>
    </row>
    <row r="10" spans="2:22" ht="14.25">
      <c r="B10" s="150" t="s">
        <v>92</v>
      </c>
      <c r="P10" s="243"/>
      <c r="Q10" s="243"/>
      <c r="R10" s="243"/>
      <c r="S10" s="243"/>
      <c r="T10" s="243"/>
      <c r="U10" s="243"/>
      <c r="V10" s="243"/>
    </row>
    <row r="11" spans="16:22" ht="13.5">
      <c r="P11" s="243"/>
      <c r="Q11" s="243"/>
      <c r="R11" s="243"/>
      <c r="S11" s="243"/>
      <c r="T11" s="243"/>
      <c r="U11" s="243"/>
      <c r="V11" s="243"/>
    </row>
    <row r="12" spans="16:22" ht="13.5">
      <c r="P12" s="243"/>
      <c r="Q12" s="243"/>
      <c r="R12" s="243"/>
      <c r="S12" s="243"/>
      <c r="T12" s="243"/>
      <c r="U12" s="243"/>
      <c r="V12" s="243"/>
    </row>
    <row r="13" spans="16:22" ht="13.5">
      <c r="P13" s="243"/>
      <c r="Q13" s="243"/>
      <c r="R13" s="243"/>
      <c r="S13" s="243"/>
      <c r="T13" s="243"/>
      <c r="U13" s="243"/>
      <c r="V13" s="243"/>
    </row>
    <row r="14" spans="16:22" ht="13.5">
      <c r="P14" s="243"/>
      <c r="Q14" s="243"/>
      <c r="R14" s="243"/>
      <c r="S14" s="243"/>
      <c r="T14" s="243"/>
      <c r="U14" s="243"/>
      <c r="V14" s="243"/>
    </row>
    <row r="15" spans="16:22" ht="13.5">
      <c r="P15" s="243"/>
      <c r="Q15" s="243"/>
      <c r="R15" s="243"/>
      <c r="S15" s="243"/>
      <c r="T15" s="243"/>
      <c r="U15" s="243"/>
      <c r="V15" s="243"/>
    </row>
    <row r="16" spans="16:22" ht="13.5">
      <c r="P16" s="243"/>
      <c r="Q16" s="243"/>
      <c r="R16" s="243"/>
      <c r="S16" s="243"/>
      <c r="T16" s="243"/>
      <c r="U16" s="243"/>
      <c r="V16" s="243"/>
    </row>
    <row r="17" spans="16:22" ht="13.5">
      <c r="P17" s="243"/>
      <c r="Q17" s="243"/>
      <c r="R17" s="243"/>
      <c r="S17" s="243"/>
      <c r="T17" s="243"/>
      <c r="U17" s="243"/>
      <c r="V17" s="243"/>
    </row>
    <row r="18" spans="16:22" ht="13.5">
      <c r="P18" s="243"/>
      <c r="Q18" s="243"/>
      <c r="R18" s="243"/>
      <c r="S18" s="243"/>
      <c r="T18" s="243"/>
      <c r="U18" s="243"/>
      <c r="V18" s="243"/>
    </row>
    <row r="19" spans="16:22" ht="13.5">
      <c r="P19" s="243"/>
      <c r="Q19" s="243"/>
      <c r="R19" s="243"/>
      <c r="S19" s="243"/>
      <c r="T19" s="243"/>
      <c r="U19" s="243"/>
      <c r="V19" s="243"/>
    </row>
    <row r="20" spans="2:22" ht="14.25">
      <c r="B20" s="150" t="s">
        <v>93</v>
      </c>
      <c r="P20" s="243"/>
      <c r="Q20" s="243"/>
      <c r="R20" s="243"/>
      <c r="S20" s="243"/>
      <c r="T20" s="243"/>
      <c r="U20" s="243"/>
      <c r="V20" s="243"/>
    </row>
    <row r="21" spans="16:22" ht="13.5">
      <c r="P21" s="243"/>
      <c r="Q21" s="243"/>
      <c r="R21" s="243"/>
      <c r="S21" s="243"/>
      <c r="T21" s="243"/>
      <c r="U21" s="243"/>
      <c r="V21" s="243"/>
    </row>
    <row r="22" spans="16:22" ht="13.5">
      <c r="P22" s="243"/>
      <c r="Q22" s="243"/>
      <c r="R22" s="243"/>
      <c r="S22" s="243"/>
      <c r="T22" s="243"/>
      <c r="U22" s="243"/>
      <c r="V22" s="243"/>
    </row>
    <row r="23" spans="16:22" ht="13.5">
      <c r="P23" s="243"/>
      <c r="Q23" s="243"/>
      <c r="R23" s="243"/>
      <c r="S23" s="243"/>
      <c r="T23" s="243"/>
      <c r="U23" s="243"/>
      <c r="V23" s="243"/>
    </row>
    <row r="24" spans="16:22" ht="13.5">
      <c r="P24" s="243"/>
      <c r="Q24" s="243"/>
      <c r="R24" s="243"/>
      <c r="S24" s="243"/>
      <c r="T24" s="243"/>
      <c r="U24" s="243"/>
      <c r="V24" s="243"/>
    </row>
    <row r="25" spans="2:22" ht="14.25">
      <c r="B25" s="150" t="s">
        <v>94</v>
      </c>
      <c r="P25" s="243"/>
      <c r="Q25" s="243"/>
      <c r="R25" s="243"/>
      <c r="S25" s="243"/>
      <c r="T25" s="243"/>
      <c r="U25" s="243"/>
      <c r="V25" s="243"/>
    </row>
    <row r="26" spans="16:22" ht="13.5">
      <c r="P26" s="243"/>
      <c r="Q26" s="243"/>
      <c r="R26" s="243"/>
      <c r="S26" s="243"/>
      <c r="T26" s="243"/>
      <c r="U26" s="243"/>
      <c r="V26" s="243"/>
    </row>
    <row r="27" spans="16:22" ht="13.5">
      <c r="P27" s="243"/>
      <c r="Q27" s="243"/>
      <c r="R27" s="243"/>
      <c r="S27" s="243"/>
      <c r="T27" s="243"/>
      <c r="U27" s="243"/>
      <c r="V27" s="243"/>
    </row>
    <row r="28" spans="16:22" ht="13.5">
      <c r="P28" s="243"/>
      <c r="Q28" s="243"/>
      <c r="R28" s="243"/>
      <c r="S28" s="243"/>
      <c r="T28" s="243"/>
      <c r="U28" s="243"/>
      <c r="V28" s="243"/>
    </row>
    <row r="29" spans="16:22" ht="13.5">
      <c r="P29" s="243"/>
      <c r="Q29" s="243"/>
      <c r="R29" s="243"/>
      <c r="S29" s="243"/>
      <c r="T29" s="243"/>
      <c r="U29" s="243"/>
      <c r="V29" s="243"/>
    </row>
    <row r="30" spans="16:22" ht="13.5">
      <c r="P30" s="243"/>
      <c r="Q30" s="243"/>
      <c r="R30" s="243"/>
      <c r="S30" s="243"/>
      <c r="T30" s="243"/>
      <c r="U30" s="243"/>
      <c r="V30" s="243"/>
    </row>
    <row r="31" spans="16:22" ht="13.5">
      <c r="P31" s="243"/>
      <c r="Q31" s="243"/>
      <c r="R31" s="243"/>
      <c r="S31" s="243"/>
      <c r="T31" s="243"/>
      <c r="U31" s="243"/>
      <c r="V31" s="243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5" sqref="M5:P5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44" t="s">
        <v>60</v>
      </c>
      <c r="B2" s="244"/>
      <c r="C2" s="245">
        <f>I2+V125</f>
        <v>539844</v>
      </c>
      <c r="D2" s="245"/>
      <c r="E2" s="245"/>
      <c r="F2" s="245"/>
      <c r="G2" s="244" t="s">
        <v>61</v>
      </c>
      <c r="H2" s="244"/>
      <c r="I2" s="19">
        <v>500000</v>
      </c>
      <c r="J2" s="20" t="s">
        <v>62</v>
      </c>
      <c r="K2" s="214">
        <v>0.2</v>
      </c>
      <c r="N2" s="216"/>
      <c r="O2" s="215" t="s">
        <v>109</v>
      </c>
      <c r="U2" s="18"/>
      <c r="V2" s="18"/>
      <c r="W2" s="18"/>
      <c r="AU2" s="21">
        <f>I2-I2*K2</f>
        <v>400000</v>
      </c>
    </row>
    <row r="3" spans="1:23" ht="21" customHeight="1">
      <c r="A3" s="244" t="s">
        <v>63</v>
      </c>
      <c r="B3" s="244"/>
      <c r="C3" s="246">
        <v>17</v>
      </c>
      <c r="D3" s="246"/>
      <c r="E3" s="246"/>
      <c r="F3" s="246"/>
      <c r="G3" s="247">
        <f>IF(C2&lt;AU2,"警告！！資金不足！！","")</f>
      </c>
      <c r="H3" s="247"/>
      <c r="I3" s="247"/>
      <c r="J3" s="247"/>
      <c r="K3" s="247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48" t="s">
        <v>21</v>
      </c>
      <c r="E4" s="249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500000</v>
      </c>
      <c r="C5" s="204">
        <v>0.02</v>
      </c>
      <c r="D5" s="34" t="s">
        <v>81</v>
      </c>
      <c r="E5" s="35" t="s">
        <v>74</v>
      </c>
      <c r="F5" s="36" t="s">
        <v>103</v>
      </c>
      <c r="G5" s="36" t="s">
        <v>108</v>
      </c>
      <c r="H5" s="36" t="s">
        <v>102</v>
      </c>
      <c r="I5" s="37">
        <v>40196</v>
      </c>
      <c r="J5" s="38">
        <v>83.631</v>
      </c>
      <c r="K5" s="38">
        <v>85.024</v>
      </c>
      <c r="L5" s="39">
        <f aca="true" t="shared" si="0" ref="L5:L68">IF(H5="","",IF(H5="買い",J5+$C$3*VLOOKUP(E5,$X$5:$AA$23,3,FALSE),J5-$C$3*VLOOKUP(E5,$X$5:$AA$23,3,FALSE)))</f>
        <v>83.461</v>
      </c>
      <c r="M5" s="36" t="s">
        <v>108</v>
      </c>
      <c r="N5" s="40">
        <v>40218</v>
      </c>
      <c r="O5" s="41">
        <v>77.939</v>
      </c>
      <c r="P5" s="42" t="s">
        <v>105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139.30000000000007</v>
      </c>
      <c r="S5" s="45">
        <f aca="true" t="shared" si="3" ref="S5:S68">IF(K5="",0,ROUNDDOWN((B5*C5)/(VLOOKUP(E5,$X$5:$AA$23,4,FALSE)*R5),-3))</f>
        <v>7000</v>
      </c>
      <c r="T5" s="46">
        <f aca="true" t="shared" si="4" ref="T5:T68">IF(Q5="勝ち",IF(H5="買い",(O5-J5)/VLOOKUP(E5,$X$5:$AA$23,3,FALSE),(J5-O5)/VLOOKUP(E5,$X$5:$AA$23,3,FALSE)),0)</f>
        <v>569.2000000000007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39844.00000000005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/>
      <c r="C6" s="204"/>
      <c r="D6" s="34"/>
      <c r="E6" s="35"/>
      <c r="F6" s="36"/>
      <c r="G6" s="36"/>
      <c r="H6" s="36"/>
      <c r="I6" s="37"/>
      <c r="J6" s="38"/>
      <c r="K6" s="38"/>
      <c r="L6" s="39">
        <f t="shared" si="0"/>
      </c>
      <c r="M6" s="36"/>
      <c r="N6" s="37"/>
      <c r="O6" s="38"/>
      <c r="P6" s="53"/>
      <c r="Q6" s="43">
        <f t="shared" si="1"/>
      </c>
      <c r="R6" s="44">
        <f t="shared" si="2"/>
        <v>0</v>
      </c>
      <c r="S6" s="45">
        <f t="shared" si="3"/>
        <v>0</v>
      </c>
      <c r="T6" s="46">
        <f t="shared" si="4"/>
        <v>0</v>
      </c>
      <c r="U6" s="47">
        <f t="shared" si="5"/>
        <v>0</v>
      </c>
      <c r="V6" s="48">
        <f t="shared" si="6"/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/>
      <c r="C7" s="204"/>
      <c r="D7" s="34"/>
      <c r="E7" s="35"/>
      <c r="F7" s="36"/>
      <c r="G7" s="36"/>
      <c r="H7" s="36"/>
      <c r="I7" s="37"/>
      <c r="J7" s="38"/>
      <c r="K7" s="38"/>
      <c r="L7" s="39">
        <f t="shared" si="0"/>
      </c>
      <c r="M7" s="36"/>
      <c r="N7" s="37"/>
      <c r="O7" s="38"/>
      <c r="P7" s="53"/>
      <c r="Q7" s="43">
        <f t="shared" si="1"/>
      </c>
      <c r="R7" s="44">
        <f t="shared" si="2"/>
        <v>0</v>
      </c>
      <c r="S7" s="45">
        <f t="shared" si="3"/>
        <v>0</v>
      </c>
      <c r="T7" s="46">
        <f t="shared" si="4"/>
        <v>0</v>
      </c>
      <c r="U7" s="47">
        <f t="shared" si="5"/>
        <v>0</v>
      </c>
      <c r="V7" s="48">
        <f t="shared" si="6"/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/>
      <c r="C8" s="204"/>
      <c r="D8" s="34"/>
      <c r="E8" s="35"/>
      <c r="F8" s="36"/>
      <c r="G8" s="36"/>
      <c r="H8" s="36"/>
      <c r="I8" s="37"/>
      <c r="J8" s="38"/>
      <c r="K8" s="38"/>
      <c r="L8" s="39">
        <f t="shared" si="0"/>
      </c>
      <c r="M8" s="36"/>
      <c r="N8" s="37"/>
      <c r="O8" s="38"/>
      <c r="P8" s="53"/>
      <c r="Q8" s="43">
        <f t="shared" si="1"/>
      </c>
      <c r="R8" s="44">
        <f t="shared" si="2"/>
        <v>0</v>
      </c>
      <c r="S8" s="45">
        <f t="shared" si="3"/>
        <v>0</v>
      </c>
      <c r="T8" s="46">
        <f t="shared" si="4"/>
        <v>0</v>
      </c>
      <c r="U8" s="47">
        <f t="shared" si="5"/>
        <v>0</v>
      </c>
      <c r="V8" s="48">
        <f t="shared" si="6"/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/>
      <c r="C9" s="204"/>
      <c r="D9" s="34"/>
      <c r="E9" s="35"/>
      <c r="F9" s="36"/>
      <c r="G9" s="36"/>
      <c r="H9" s="36"/>
      <c r="I9" s="37"/>
      <c r="J9" s="38"/>
      <c r="K9" s="38"/>
      <c r="L9" s="39">
        <f t="shared" si="0"/>
      </c>
      <c r="M9" s="36"/>
      <c r="N9" s="37"/>
      <c r="O9" s="38"/>
      <c r="P9" s="53"/>
      <c r="Q9" s="43">
        <f t="shared" si="1"/>
      </c>
      <c r="R9" s="44">
        <f t="shared" si="2"/>
        <v>0</v>
      </c>
      <c r="S9" s="45">
        <f t="shared" si="3"/>
        <v>0</v>
      </c>
      <c r="T9" s="46">
        <f t="shared" si="4"/>
        <v>0</v>
      </c>
      <c r="U9" s="47">
        <f t="shared" si="5"/>
        <v>0</v>
      </c>
      <c r="V9" s="48">
        <f t="shared" si="6"/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/>
      <c r="C10" s="204"/>
      <c r="D10" s="34"/>
      <c r="E10" s="35"/>
      <c r="F10" s="36"/>
      <c r="G10" s="36"/>
      <c r="H10" s="36"/>
      <c r="I10" s="37"/>
      <c r="J10" s="38"/>
      <c r="K10" s="38"/>
      <c r="L10" s="39">
        <f t="shared" si="0"/>
      </c>
      <c r="M10" s="36"/>
      <c r="N10" s="37"/>
      <c r="O10" s="38"/>
      <c r="P10" s="53"/>
      <c r="Q10" s="43">
        <f t="shared" si="1"/>
      </c>
      <c r="R10" s="44">
        <f t="shared" si="2"/>
        <v>0</v>
      </c>
      <c r="S10" s="45">
        <f t="shared" si="3"/>
        <v>0</v>
      </c>
      <c r="T10" s="46">
        <f t="shared" si="4"/>
        <v>0</v>
      </c>
      <c r="U10" s="47">
        <f t="shared" si="5"/>
        <v>0</v>
      </c>
      <c r="V10" s="48">
        <f t="shared" si="6"/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/>
      <c r="C11" s="204"/>
      <c r="D11" s="34"/>
      <c r="E11" s="35"/>
      <c r="F11" s="36"/>
      <c r="G11" s="36"/>
      <c r="H11" s="36"/>
      <c r="I11" s="37"/>
      <c r="J11" s="38"/>
      <c r="K11" s="38"/>
      <c r="L11" s="39">
        <f t="shared" si="0"/>
      </c>
      <c r="M11" s="36"/>
      <c r="N11" s="37"/>
      <c r="O11" s="38"/>
      <c r="P11" s="53"/>
      <c r="Q11" s="43">
        <f t="shared" si="1"/>
      </c>
      <c r="R11" s="44">
        <f t="shared" si="2"/>
        <v>0</v>
      </c>
      <c r="S11" s="45">
        <f t="shared" si="3"/>
        <v>0</v>
      </c>
      <c r="T11" s="46">
        <f t="shared" si="4"/>
        <v>0</v>
      </c>
      <c r="U11" s="47">
        <f t="shared" si="5"/>
        <v>0</v>
      </c>
      <c r="V11" s="48">
        <f t="shared" si="6"/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/>
      <c r="C12" s="204"/>
      <c r="D12" s="34"/>
      <c r="E12" s="35"/>
      <c r="F12" s="36"/>
      <c r="G12" s="36"/>
      <c r="H12" s="36"/>
      <c r="I12" s="37"/>
      <c r="J12" s="38"/>
      <c r="K12" s="38"/>
      <c r="L12" s="39">
        <f t="shared" si="0"/>
      </c>
      <c r="M12" s="36"/>
      <c r="N12" s="37"/>
      <c r="O12" s="38"/>
      <c r="P12" s="53"/>
      <c r="Q12" s="43">
        <f t="shared" si="1"/>
      </c>
      <c r="R12" s="44">
        <f t="shared" si="2"/>
        <v>0</v>
      </c>
      <c r="S12" s="45">
        <f t="shared" si="3"/>
        <v>0</v>
      </c>
      <c r="T12" s="46">
        <f t="shared" si="4"/>
        <v>0</v>
      </c>
      <c r="U12" s="47">
        <f t="shared" si="5"/>
        <v>0</v>
      </c>
      <c r="V12" s="48">
        <f t="shared" si="6"/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/>
      <c r="C13" s="204"/>
      <c r="D13" s="34"/>
      <c r="E13" s="35"/>
      <c r="F13" s="36"/>
      <c r="G13" s="36"/>
      <c r="H13" s="36"/>
      <c r="I13" s="37"/>
      <c r="J13" s="38"/>
      <c r="K13" s="38"/>
      <c r="L13" s="39">
        <f t="shared" si="0"/>
      </c>
      <c r="M13" s="36"/>
      <c r="N13" s="37"/>
      <c r="O13" s="38"/>
      <c r="P13" s="53"/>
      <c r="Q13" s="43">
        <f t="shared" si="1"/>
      </c>
      <c r="R13" s="44">
        <f t="shared" si="2"/>
        <v>0</v>
      </c>
      <c r="S13" s="45">
        <f t="shared" si="3"/>
        <v>0</v>
      </c>
      <c r="T13" s="46">
        <f t="shared" si="4"/>
        <v>0</v>
      </c>
      <c r="U13" s="47">
        <f t="shared" si="5"/>
        <v>0</v>
      </c>
      <c r="V13" s="48">
        <f t="shared" si="6"/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/>
      <c r="C14" s="204"/>
      <c r="D14" s="34"/>
      <c r="E14" s="35"/>
      <c r="F14" s="36"/>
      <c r="G14" s="36"/>
      <c r="H14" s="36"/>
      <c r="I14" s="37"/>
      <c r="J14" s="38"/>
      <c r="K14" s="38"/>
      <c r="L14" s="39">
        <f t="shared" si="0"/>
      </c>
      <c r="M14" s="36"/>
      <c r="N14" s="37"/>
      <c r="O14" s="38"/>
      <c r="P14" s="53"/>
      <c r="Q14" s="43">
        <f t="shared" si="1"/>
      </c>
      <c r="R14" s="44">
        <f t="shared" si="2"/>
        <v>0</v>
      </c>
      <c r="S14" s="45">
        <f t="shared" si="3"/>
        <v>0</v>
      </c>
      <c r="T14" s="46">
        <f t="shared" si="4"/>
        <v>0</v>
      </c>
      <c r="U14" s="47">
        <f t="shared" si="5"/>
        <v>0</v>
      </c>
      <c r="V14" s="48">
        <f t="shared" si="6"/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/>
      <c r="C15" s="204"/>
      <c r="D15" s="34"/>
      <c r="E15" s="35"/>
      <c r="F15" s="36"/>
      <c r="G15" s="36"/>
      <c r="H15" s="36"/>
      <c r="I15" s="37"/>
      <c r="J15" s="38"/>
      <c r="K15" s="38"/>
      <c r="L15" s="39">
        <f t="shared" si="0"/>
      </c>
      <c r="M15" s="36"/>
      <c r="N15" s="37"/>
      <c r="O15" s="38"/>
      <c r="P15" s="53"/>
      <c r="Q15" s="43">
        <f t="shared" si="1"/>
      </c>
      <c r="R15" s="44">
        <f t="shared" si="2"/>
        <v>0</v>
      </c>
      <c r="S15" s="45">
        <f t="shared" si="3"/>
        <v>0</v>
      </c>
      <c r="T15" s="46">
        <f t="shared" si="4"/>
        <v>0</v>
      </c>
      <c r="U15" s="47">
        <f t="shared" si="5"/>
        <v>0</v>
      </c>
      <c r="V15" s="48">
        <f t="shared" si="6"/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/>
      <c r="C16" s="204"/>
      <c r="D16" s="34"/>
      <c r="E16" s="35"/>
      <c r="F16" s="36"/>
      <c r="G16" s="36"/>
      <c r="H16" s="36"/>
      <c r="I16" s="37"/>
      <c r="J16" s="38"/>
      <c r="K16" s="38"/>
      <c r="L16" s="39">
        <f t="shared" si="0"/>
      </c>
      <c r="M16" s="36"/>
      <c r="N16" s="37"/>
      <c r="O16" s="38"/>
      <c r="P16" s="53"/>
      <c r="Q16" s="43">
        <f t="shared" si="1"/>
      </c>
      <c r="R16" s="44">
        <f t="shared" si="2"/>
        <v>0</v>
      </c>
      <c r="S16" s="45">
        <f t="shared" si="3"/>
        <v>0</v>
      </c>
      <c r="T16" s="46">
        <f t="shared" si="4"/>
        <v>0</v>
      </c>
      <c r="U16" s="47">
        <f t="shared" si="5"/>
        <v>0</v>
      </c>
      <c r="V16" s="48">
        <f t="shared" si="6"/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/>
      <c r="C17" s="204"/>
      <c r="D17" s="34"/>
      <c r="E17" s="35"/>
      <c r="F17" s="36"/>
      <c r="G17" s="36"/>
      <c r="H17" s="36"/>
      <c r="I17" s="37"/>
      <c r="J17" s="38"/>
      <c r="K17" s="38"/>
      <c r="L17" s="39">
        <f t="shared" si="0"/>
      </c>
      <c r="M17" s="36"/>
      <c r="N17" s="37"/>
      <c r="O17" s="38"/>
      <c r="P17" s="53"/>
      <c r="Q17" s="43">
        <f t="shared" si="1"/>
      </c>
      <c r="R17" s="44">
        <f t="shared" si="2"/>
        <v>0</v>
      </c>
      <c r="S17" s="45">
        <f t="shared" si="3"/>
        <v>0</v>
      </c>
      <c r="T17" s="46">
        <f t="shared" si="4"/>
        <v>0</v>
      </c>
      <c r="U17" s="47">
        <f t="shared" si="5"/>
        <v>0</v>
      </c>
      <c r="V17" s="48">
        <f t="shared" si="6"/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/>
      <c r="C18" s="204"/>
      <c r="D18" s="34"/>
      <c r="E18" s="35"/>
      <c r="F18" s="36"/>
      <c r="G18" s="36"/>
      <c r="H18" s="36"/>
      <c r="I18" s="37"/>
      <c r="J18" s="38"/>
      <c r="K18" s="38"/>
      <c r="L18" s="39">
        <f t="shared" si="0"/>
      </c>
      <c r="M18" s="36"/>
      <c r="N18" s="37"/>
      <c r="O18" s="38"/>
      <c r="P18" s="53"/>
      <c r="Q18" s="43">
        <f t="shared" si="1"/>
      </c>
      <c r="R18" s="44">
        <f t="shared" si="2"/>
        <v>0</v>
      </c>
      <c r="S18" s="45">
        <f t="shared" si="3"/>
        <v>0</v>
      </c>
      <c r="T18" s="46">
        <f t="shared" si="4"/>
        <v>0</v>
      </c>
      <c r="U18" s="47">
        <f t="shared" si="5"/>
        <v>0</v>
      </c>
      <c r="V18" s="48">
        <f t="shared" si="6"/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/>
      <c r="C19" s="204"/>
      <c r="D19" s="34"/>
      <c r="E19" s="35"/>
      <c r="F19" s="36"/>
      <c r="G19" s="36"/>
      <c r="H19" s="36"/>
      <c r="I19" s="37"/>
      <c r="J19" s="38"/>
      <c r="K19" s="38"/>
      <c r="L19" s="39">
        <f t="shared" si="0"/>
      </c>
      <c r="M19" s="36"/>
      <c r="N19" s="37"/>
      <c r="O19" s="38"/>
      <c r="P19" s="53"/>
      <c r="Q19" s="43">
        <f t="shared" si="1"/>
      </c>
      <c r="R19" s="44">
        <f t="shared" si="2"/>
        <v>0</v>
      </c>
      <c r="S19" s="45">
        <f t="shared" si="3"/>
        <v>0</v>
      </c>
      <c r="T19" s="46">
        <f t="shared" si="4"/>
        <v>0</v>
      </c>
      <c r="U19" s="47">
        <f t="shared" si="5"/>
        <v>0</v>
      </c>
      <c r="V19" s="48">
        <f t="shared" si="6"/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/>
      <c r="C20" s="204"/>
      <c r="D20" s="34"/>
      <c r="E20" s="35"/>
      <c r="F20" s="36"/>
      <c r="G20" s="36"/>
      <c r="H20" s="36"/>
      <c r="I20" s="37"/>
      <c r="J20" s="38"/>
      <c r="K20" s="38"/>
      <c r="L20" s="39">
        <f t="shared" si="0"/>
      </c>
      <c r="M20" s="36"/>
      <c r="N20" s="37"/>
      <c r="O20" s="38"/>
      <c r="P20" s="53"/>
      <c r="Q20" s="43">
        <f t="shared" si="1"/>
      </c>
      <c r="R20" s="44">
        <f t="shared" si="2"/>
        <v>0</v>
      </c>
      <c r="S20" s="45">
        <f t="shared" si="3"/>
        <v>0</v>
      </c>
      <c r="T20" s="46">
        <f t="shared" si="4"/>
        <v>0</v>
      </c>
      <c r="U20" s="47">
        <f t="shared" si="5"/>
        <v>0</v>
      </c>
      <c r="V20" s="48">
        <f t="shared" si="6"/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/>
      <c r="C21" s="204"/>
      <c r="D21" s="34"/>
      <c r="E21" s="35"/>
      <c r="F21" s="36"/>
      <c r="G21" s="36"/>
      <c r="H21" s="36"/>
      <c r="I21" s="37"/>
      <c r="J21" s="38"/>
      <c r="K21" s="38"/>
      <c r="L21" s="39">
        <f t="shared" si="0"/>
      </c>
      <c r="M21" s="36"/>
      <c r="N21" s="37"/>
      <c r="O21" s="38"/>
      <c r="P21" s="53"/>
      <c r="Q21" s="43">
        <f t="shared" si="1"/>
      </c>
      <c r="R21" s="44">
        <f t="shared" si="2"/>
        <v>0</v>
      </c>
      <c r="S21" s="45">
        <f t="shared" si="3"/>
        <v>0</v>
      </c>
      <c r="T21" s="46">
        <f t="shared" si="4"/>
        <v>0</v>
      </c>
      <c r="U21" s="47">
        <f t="shared" si="5"/>
        <v>0</v>
      </c>
      <c r="V21" s="48">
        <f t="shared" si="6"/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/>
      <c r="C22" s="204"/>
      <c r="D22" s="34"/>
      <c r="E22" s="35"/>
      <c r="F22" s="36"/>
      <c r="G22" s="36"/>
      <c r="H22" s="36"/>
      <c r="I22" s="37"/>
      <c r="J22" s="38"/>
      <c r="K22" s="38"/>
      <c r="L22" s="39">
        <f t="shared" si="0"/>
      </c>
      <c r="M22" s="36"/>
      <c r="N22" s="37"/>
      <c r="O22" s="38"/>
      <c r="P22" s="53"/>
      <c r="Q22" s="43">
        <f t="shared" si="1"/>
      </c>
      <c r="R22" s="44">
        <f t="shared" si="2"/>
        <v>0</v>
      </c>
      <c r="S22" s="45">
        <f t="shared" si="3"/>
        <v>0</v>
      </c>
      <c r="T22" s="46">
        <f t="shared" si="4"/>
        <v>0</v>
      </c>
      <c r="U22" s="47">
        <f t="shared" si="5"/>
        <v>0</v>
      </c>
      <c r="V22" s="48">
        <f t="shared" si="6"/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/>
      <c r="C23" s="204"/>
      <c r="D23" s="34"/>
      <c r="E23" s="35"/>
      <c r="F23" s="36"/>
      <c r="G23" s="36"/>
      <c r="H23" s="36"/>
      <c r="I23" s="37"/>
      <c r="J23" s="38"/>
      <c r="K23" s="38"/>
      <c r="L23" s="39">
        <f t="shared" si="0"/>
      </c>
      <c r="M23" s="36"/>
      <c r="N23" s="37"/>
      <c r="O23" s="38"/>
      <c r="P23" s="53"/>
      <c r="Q23" s="43">
        <f t="shared" si="1"/>
      </c>
      <c r="R23" s="44">
        <f t="shared" si="2"/>
        <v>0</v>
      </c>
      <c r="S23" s="45">
        <f t="shared" si="3"/>
        <v>0</v>
      </c>
      <c r="T23" s="46">
        <f t="shared" si="4"/>
        <v>0</v>
      </c>
      <c r="U23" s="47">
        <f t="shared" si="5"/>
        <v>0</v>
      </c>
      <c r="V23" s="48">
        <f t="shared" si="6"/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/>
      <c r="C24" s="204"/>
      <c r="D24" s="34"/>
      <c r="E24" s="35"/>
      <c r="F24" s="36"/>
      <c r="G24" s="36"/>
      <c r="H24" s="36"/>
      <c r="I24" s="37"/>
      <c r="J24" s="38"/>
      <c r="K24" s="38"/>
      <c r="L24" s="39">
        <f t="shared" si="0"/>
      </c>
      <c r="M24" s="36"/>
      <c r="N24" s="37"/>
      <c r="O24" s="38"/>
      <c r="P24" s="53"/>
      <c r="Q24" s="43">
        <f t="shared" si="1"/>
      </c>
      <c r="R24" s="44">
        <f t="shared" si="2"/>
        <v>0</v>
      </c>
      <c r="S24" s="45">
        <f t="shared" si="3"/>
        <v>0</v>
      </c>
      <c r="T24" s="46">
        <f t="shared" si="4"/>
        <v>0</v>
      </c>
      <c r="U24" s="47">
        <f t="shared" si="5"/>
        <v>0</v>
      </c>
      <c r="V24" s="48">
        <f t="shared" si="6"/>
      </c>
    </row>
    <row r="25" spans="1:22" ht="13.5">
      <c r="A25" s="52">
        <v>21</v>
      </c>
      <c r="B25" s="226"/>
      <c r="C25" s="204"/>
      <c r="D25" s="34"/>
      <c r="E25" s="35"/>
      <c r="F25" s="36"/>
      <c r="G25" s="36"/>
      <c r="H25" s="36"/>
      <c r="I25" s="37"/>
      <c r="J25" s="38"/>
      <c r="K25" s="38"/>
      <c r="L25" s="39">
        <f t="shared" si="0"/>
      </c>
      <c r="M25" s="36"/>
      <c r="N25" s="37"/>
      <c r="O25" s="38"/>
      <c r="P25" s="53"/>
      <c r="Q25" s="43">
        <f t="shared" si="1"/>
      </c>
      <c r="R25" s="44">
        <f t="shared" si="2"/>
        <v>0</v>
      </c>
      <c r="S25" s="45">
        <f t="shared" si="3"/>
        <v>0</v>
      </c>
      <c r="T25" s="46">
        <f t="shared" si="4"/>
        <v>0</v>
      </c>
      <c r="U25" s="47">
        <f t="shared" si="5"/>
        <v>0</v>
      </c>
      <c r="V25" s="48">
        <f t="shared" si="6"/>
      </c>
    </row>
    <row r="26" spans="1:22" ht="13.5">
      <c r="A26" s="52">
        <v>22</v>
      </c>
      <c r="B26" s="226"/>
      <c r="C26" s="204"/>
      <c r="D26" s="34"/>
      <c r="E26" s="35"/>
      <c r="F26" s="36"/>
      <c r="G26" s="36"/>
      <c r="H26" s="36"/>
      <c r="I26" s="37"/>
      <c r="J26" s="38"/>
      <c r="K26" s="38"/>
      <c r="L26" s="39">
        <f t="shared" si="0"/>
      </c>
      <c r="M26" s="36"/>
      <c r="N26" s="37"/>
      <c r="O26" s="38"/>
      <c r="P26" s="53"/>
      <c r="Q26" s="43">
        <f t="shared" si="1"/>
      </c>
      <c r="R26" s="44">
        <f t="shared" si="2"/>
        <v>0</v>
      </c>
      <c r="S26" s="45">
        <f t="shared" si="3"/>
        <v>0</v>
      </c>
      <c r="T26" s="46">
        <f t="shared" si="4"/>
        <v>0</v>
      </c>
      <c r="U26" s="47">
        <f t="shared" si="5"/>
        <v>0</v>
      </c>
      <c r="V26" s="48">
        <f t="shared" si="6"/>
      </c>
    </row>
    <row r="27" spans="1:22" ht="13.5">
      <c r="A27" s="52">
        <v>23</v>
      </c>
      <c r="B27" s="226"/>
      <c r="C27" s="204"/>
      <c r="D27" s="34"/>
      <c r="E27" s="35"/>
      <c r="F27" s="36"/>
      <c r="G27" s="36"/>
      <c r="H27" s="36"/>
      <c r="I27" s="37"/>
      <c r="J27" s="38"/>
      <c r="K27" s="38"/>
      <c r="L27" s="39">
        <f t="shared" si="0"/>
      </c>
      <c r="M27" s="36"/>
      <c r="N27" s="37"/>
      <c r="O27" s="38"/>
      <c r="P27" s="53"/>
      <c r="Q27" s="43">
        <f t="shared" si="1"/>
      </c>
      <c r="R27" s="44">
        <f t="shared" si="2"/>
        <v>0</v>
      </c>
      <c r="S27" s="45">
        <f t="shared" si="3"/>
        <v>0</v>
      </c>
      <c r="T27" s="46">
        <f t="shared" si="4"/>
        <v>0</v>
      </c>
      <c r="U27" s="47">
        <f t="shared" si="5"/>
        <v>0</v>
      </c>
      <c r="V27" s="48">
        <f t="shared" si="6"/>
      </c>
    </row>
    <row r="28" spans="1:22" ht="13.5">
      <c r="A28" s="52">
        <v>24</v>
      </c>
      <c r="B28" s="226"/>
      <c r="C28" s="204"/>
      <c r="D28" s="34"/>
      <c r="E28" s="35"/>
      <c r="F28" s="36"/>
      <c r="G28" s="36"/>
      <c r="H28" s="36"/>
      <c r="I28" s="37"/>
      <c r="J28" s="38"/>
      <c r="K28" s="38"/>
      <c r="L28" s="39">
        <f t="shared" si="0"/>
      </c>
      <c r="M28" s="36"/>
      <c r="N28" s="37"/>
      <c r="O28" s="38"/>
      <c r="P28" s="53"/>
      <c r="Q28" s="43">
        <f t="shared" si="1"/>
      </c>
      <c r="R28" s="44">
        <f t="shared" si="2"/>
        <v>0</v>
      </c>
      <c r="S28" s="45">
        <f t="shared" si="3"/>
        <v>0</v>
      </c>
      <c r="T28" s="46">
        <f t="shared" si="4"/>
        <v>0</v>
      </c>
      <c r="U28" s="47">
        <f t="shared" si="5"/>
        <v>0</v>
      </c>
      <c r="V28" s="48">
        <f t="shared" si="6"/>
      </c>
    </row>
    <row r="29" spans="1:22" ht="13.5">
      <c r="A29" s="52">
        <v>25</v>
      </c>
      <c r="B29" s="226"/>
      <c r="C29" s="204"/>
      <c r="D29" s="34"/>
      <c r="E29" s="35"/>
      <c r="F29" s="36"/>
      <c r="G29" s="36"/>
      <c r="H29" s="36"/>
      <c r="I29" s="37"/>
      <c r="J29" s="38"/>
      <c r="K29" s="38"/>
      <c r="L29" s="39">
        <f t="shared" si="0"/>
      </c>
      <c r="M29" s="36"/>
      <c r="N29" s="37"/>
      <c r="O29" s="38"/>
      <c r="P29" s="53"/>
      <c r="Q29" s="43">
        <f t="shared" si="1"/>
      </c>
      <c r="R29" s="44">
        <f t="shared" si="2"/>
        <v>0</v>
      </c>
      <c r="S29" s="45">
        <f t="shared" si="3"/>
        <v>0</v>
      </c>
      <c r="T29" s="46">
        <f t="shared" si="4"/>
        <v>0</v>
      </c>
      <c r="U29" s="47">
        <f t="shared" si="5"/>
        <v>0</v>
      </c>
      <c r="V29" s="48">
        <f t="shared" si="6"/>
      </c>
    </row>
    <row r="30" spans="1:22" ht="13.5">
      <c r="A30" s="52">
        <v>26</v>
      </c>
      <c r="B30" s="226"/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50">
        <f>SUM(T5:T124)+SUM(U5:U124)</f>
        <v>569.2000000000007</v>
      </c>
      <c r="U125" s="250"/>
      <c r="V125" s="77">
        <f>SUM(V5:V124)</f>
        <v>39844.00000000005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51" t="s">
        <v>34</v>
      </c>
      <c r="G128" s="252"/>
      <c r="H128" s="253"/>
      <c r="J128" s="254" t="s">
        <v>82</v>
      </c>
      <c r="K128" s="255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56"/>
      <c r="H129" s="257"/>
      <c r="J129" s="218" t="s">
        <v>111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0</v>
      </c>
      <c r="H130" s="259"/>
      <c r="J130" s="218" t="s">
        <v>112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</v>
      </c>
      <c r="H131" s="259"/>
      <c r="J131" s="218" t="s">
        <v>113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1</v>
      </c>
      <c r="H132" s="259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1</v>
      </c>
      <c r="H133" s="259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5">
        <f>COUNTIF(Q5:Q124,"負け")</f>
        <v>0</v>
      </c>
      <c r="H134" s="266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5">
        <f>COUNTIF(Q5:Q124,"ドロー")</f>
        <v>0</v>
      </c>
      <c r="H135" s="266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5">
        <f>COUNTIF(Q5:Q124,"保留中")</f>
        <v>0</v>
      </c>
      <c r="H136" s="266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61">
        <f>SUMIF(Q5:Q124,"勝ち",V5:V124)</f>
        <v>39844.00000000005</v>
      </c>
      <c r="H137" s="26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73">
        <f>SUMIF(Q5:Q124,"負け",V5:V124)</f>
        <v>0</v>
      </c>
      <c r="H138" s="274"/>
      <c r="J138" s="260" t="s">
        <v>51</v>
      </c>
      <c r="K138" s="260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61">
        <f>G137+G138</f>
        <v>39844.00000000005</v>
      </c>
      <c r="H139" s="262"/>
      <c r="J139" s="218" t="s">
        <v>103</v>
      </c>
      <c r="K139" s="82">
        <f aca="true" t="shared" si="17" ref="K139:K144">COUNTIF($F$5:$F$124,J139)</f>
        <v>1</v>
      </c>
      <c r="L139" s="82">
        <f>_xlfn.COUNTIFS($H$5:$H$124,"買い",$F$5:$F$124,J139)</f>
        <v>0</v>
      </c>
      <c r="M139" s="83">
        <f>_xlfn.COUNTIFS($F$5:$F$124,J139,$H$5:$H$124,"売り")</f>
        <v>1</v>
      </c>
      <c r="N139" s="84">
        <f aca="true" t="shared" si="18" ref="N139:N144">SUMIF($F$5:$F$124,J139,$T$5:$T$124)+SUMIF($F$5:$F$124,J139,$U$5:$U$124)</f>
        <v>569.2000000000007</v>
      </c>
      <c r="O139" s="160">
        <f>_xlfn.COUNTIFS($Q$5:$Q$124,"勝ち",$F$5:$F$124,J139)/(COUNTIF($F$5:$F$124,J139)-_xlfn.COUNTIFS($F$5:$F$124,J139,$Q$5:$Q$124,"ドロー"))*100</f>
        <v>100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63">
        <f>G137/COUNTA(H5:H124)</f>
        <v>39844.00000000005</v>
      </c>
      <c r="H140" s="264"/>
      <c r="J140" s="218" t="s">
        <v>110</v>
      </c>
      <c r="K140" s="82">
        <f t="shared" si="17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18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63">
        <f>G139/COUNTA(H5:H124)</f>
        <v>39844.00000000005</v>
      </c>
      <c r="H141" s="264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67"/>
      <c r="H142" s="268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67"/>
      <c r="H143" s="268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69">
        <f>MAX(T5:T124)</f>
        <v>569.2000000000007</v>
      </c>
      <c r="H144" s="270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71">
        <f>G133/(G132-G135)</f>
        <v>1</v>
      </c>
      <c r="H145" s="272"/>
      <c r="J145" s="85" t="s">
        <v>33</v>
      </c>
      <c r="K145" s="86">
        <f>SUM(K139:K144)</f>
        <v>1</v>
      </c>
      <c r="L145" s="86">
        <f>SUM(L139:L144)</f>
        <v>0</v>
      </c>
      <c r="M145" s="86">
        <f>SUM(M139:M144)</f>
        <v>1</v>
      </c>
      <c r="N145" s="80">
        <f>SUM(N139:N144)</f>
        <v>569.2000000000007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2:H142"/>
    <mergeCell ref="G143:H143"/>
    <mergeCell ref="G144:H144"/>
    <mergeCell ref="G145:H145"/>
    <mergeCell ref="G137:H137"/>
    <mergeCell ref="G138:H138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D4:E4"/>
    <mergeCell ref="T125:U125"/>
    <mergeCell ref="F128:H128"/>
    <mergeCell ref="J128:K128"/>
    <mergeCell ref="G129:H129"/>
    <mergeCell ref="G130:H130"/>
    <mergeCell ref="A2:B2"/>
    <mergeCell ref="C2:F2"/>
    <mergeCell ref="G2:H2"/>
    <mergeCell ref="A3:B3"/>
    <mergeCell ref="C3:F3"/>
    <mergeCell ref="G3:K3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B1">
      <pane ySplit="4" topLeftCell="A5" activePane="bottomLeft" state="frozen"/>
      <selection pane="topLeft" activeCell="A1" sqref="A1"/>
      <selection pane="bottomLeft" activeCell="O30" sqref="O30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44" t="s">
        <v>60</v>
      </c>
      <c r="B2" s="244"/>
      <c r="C2" s="245">
        <f>I2+V125</f>
        <v>4360609.595799997</v>
      </c>
      <c r="D2" s="245"/>
      <c r="E2" s="245"/>
      <c r="F2" s="245"/>
      <c r="G2" s="244" t="s">
        <v>61</v>
      </c>
      <c r="H2" s="244"/>
      <c r="I2" s="19">
        <v>1000000</v>
      </c>
      <c r="J2" s="20" t="s">
        <v>62</v>
      </c>
      <c r="K2" s="214">
        <v>0.3</v>
      </c>
      <c r="N2" s="216"/>
      <c r="O2" s="215" t="s">
        <v>109</v>
      </c>
      <c r="U2" s="18"/>
      <c r="V2" s="18"/>
      <c r="W2" s="18"/>
      <c r="AU2" s="21">
        <f>I2-I2*K2</f>
        <v>700000</v>
      </c>
    </row>
    <row r="3" spans="1:23" ht="21" customHeight="1">
      <c r="A3" s="244" t="s">
        <v>63</v>
      </c>
      <c r="B3" s="244"/>
      <c r="C3" s="246">
        <v>17</v>
      </c>
      <c r="D3" s="246"/>
      <c r="E3" s="246"/>
      <c r="F3" s="246"/>
      <c r="G3" s="247">
        <f>IF(C2&lt;AU2,"警告！！資金不足！！","")</f>
      </c>
      <c r="H3" s="247"/>
      <c r="I3" s="247"/>
      <c r="J3" s="247"/>
      <c r="K3" s="247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48" t="s">
        <v>21</v>
      </c>
      <c r="E4" s="249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118</v>
      </c>
      <c r="E5" s="35" t="s">
        <v>119</v>
      </c>
      <c r="F5" s="36" t="s">
        <v>103</v>
      </c>
      <c r="G5" s="36" t="s">
        <v>108</v>
      </c>
      <c r="H5" s="36" t="s">
        <v>116</v>
      </c>
      <c r="I5" s="37">
        <v>39475</v>
      </c>
      <c r="J5" s="38">
        <v>0.8891</v>
      </c>
      <c r="K5" s="38">
        <v>0.8766</v>
      </c>
      <c r="L5" s="39">
        <f aca="true" t="shared" si="0" ref="L5:L68">IF(H5="","",IF(H5="買い",J5+$C$3*VLOOKUP(E5,$X$5:$AA$23,3,FALSE),J5-$C$3*VLOOKUP(E5,$X$5:$AA$23,3,FALSE)))</f>
        <v>0.8908</v>
      </c>
      <c r="M5" s="36" t="s">
        <v>108</v>
      </c>
      <c r="N5" s="40">
        <v>39559</v>
      </c>
      <c r="O5" s="231">
        <v>0.9321</v>
      </c>
      <c r="P5" s="42" t="s">
        <v>121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124.99999999999955</v>
      </c>
      <c r="S5" s="45">
        <f aca="true" t="shared" si="3" ref="S5:S68">IF(K5="",0,ROUNDDOWN((B5*C5)/(VLOOKUP(E5,$X$5:$AA$23,4,FALSE)*R5),-3))</f>
        <v>19000</v>
      </c>
      <c r="T5" s="46">
        <f>IF(Q5="勝ち",IF(H5="買い",(O5-J5)/VLOOKUP(E5,$X$5:$AA$23,3,FALSE),(J5-O5)/VLOOKUP(E5,$X$5:$AA$23,3,FALSE)),0)</f>
        <v>430.00000000000034</v>
      </c>
      <c r="U5" s="47">
        <f aca="true" t="shared" si="4" ref="U5:U68">IF(Q5="負け",IF(H5="買い",(O5-J5)/VLOOKUP(E5,$X$5:$AA$23,3,FALSE),(J5-O5)/VLOOKUP(E5,$X$5:$AA$23,3,FALSE)),0)</f>
        <v>0</v>
      </c>
      <c r="V5" s="48">
        <f aca="true" t="shared" si="5" ref="V5:V68">IF(Q5="保留中",-R5*S5*VLOOKUP(E5,$X$5:$AA$23,4,FALSE),IF(O5="","",S5*VLOOKUP(E5,$X$5:$AA$23,4,FALSE)*U5+S5*VLOOKUP(E5,$X$5:$AA$23,4,FALSE)*T5))</f>
        <v>100866.82000000008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1100866.82</v>
      </c>
      <c r="C6" s="204">
        <v>0.03</v>
      </c>
      <c r="D6" s="34" t="s">
        <v>115</v>
      </c>
      <c r="E6" s="35" t="s">
        <v>119</v>
      </c>
      <c r="F6" s="36" t="s">
        <v>117</v>
      </c>
      <c r="G6" s="36" t="s">
        <v>108</v>
      </c>
      <c r="H6" s="36" t="s">
        <v>116</v>
      </c>
      <c r="I6" s="37">
        <v>39623</v>
      </c>
      <c r="J6" s="38">
        <v>0.9583</v>
      </c>
      <c r="K6" s="38">
        <v>0.9498</v>
      </c>
      <c r="L6" s="39">
        <f t="shared" si="0"/>
        <v>0.9600000000000001</v>
      </c>
      <c r="M6" s="36" t="s">
        <v>108</v>
      </c>
      <c r="N6" s="37">
        <v>39650</v>
      </c>
      <c r="O6" s="38">
        <v>0.9705</v>
      </c>
      <c r="P6" s="53" t="s">
        <v>121</v>
      </c>
      <c r="Q6" s="43" t="str">
        <f t="shared" si="1"/>
        <v>勝ち</v>
      </c>
      <c r="R6" s="44">
        <f t="shared" si="2"/>
        <v>85.00000000000063</v>
      </c>
      <c r="S6" s="45">
        <f t="shared" si="3"/>
        <v>31000</v>
      </c>
      <c r="T6" s="46">
        <f aca="true" t="shared" si="6" ref="T6:T68">IF(Q6="勝ち",IF(H6="買い",(O6-J6)/VLOOKUP(E6,$X$5:$AA$23,3,FALSE),(J6-O6)/VLOOKUP(E6,$X$5:$AA$23,3,FALSE)),0)</f>
        <v>121.99999999999989</v>
      </c>
      <c r="U6" s="47">
        <f t="shared" si="4"/>
        <v>0</v>
      </c>
      <c r="V6" s="48">
        <f t="shared" si="5"/>
        <v>46692.57199999996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f aca="true" t="shared" si="8" ref="B7:B70">IF(V6="","",B6+V6)</f>
        <v>1147559.392</v>
      </c>
      <c r="C7" s="204">
        <v>0.03</v>
      </c>
      <c r="D7" s="34" t="s">
        <v>118</v>
      </c>
      <c r="E7" s="35" t="s">
        <v>119</v>
      </c>
      <c r="F7" s="36" t="s">
        <v>120</v>
      </c>
      <c r="G7" s="36" t="s">
        <v>108</v>
      </c>
      <c r="H7" s="36" t="s">
        <v>102</v>
      </c>
      <c r="I7" s="37">
        <v>39658</v>
      </c>
      <c r="J7" s="38">
        <v>0.9584</v>
      </c>
      <c r="K7" s="38">
        <v>0.9498</v>
      </c>
      <c r="L7" s="39">
        <f t="shared" si="0"/>
        <v>0.9567</v>
      </c>
      <c r="M7" s="36" t="s">
        <v>108</v>
      </c>
      <c r="N7" s="37">
        <v>39682</v>
      </c>
      <c r="O7" s="38">
        <v>0.8812</v>
      </c>
      <c r="P7" s="53" t="s">
        <v>122</v>
      </c>
      <c r="Q7" s="43" t="str">
        <f t="shared" si="1"/>
        <v>勝ち</v>
      </c>
      <c r="R7" s="44">
        <f t="shared" si="2"/>
        <v>86.00000000000051</v>
      </c>
      <c r="S7" s="45">
        <f t="shared" si="3"/>
        <v>32000</v>
      </c>
      <c r="T7" s="46">
        <f t="shared" si="6"/>
        <v>772.0000000000005</v>
      </c>
      <c r="U7" s="47">
        <f t="shared" si="4"/>
        <v>0</v>
      </c>
      <c r="V7" s="48">
        <f t="shared" si="5"/>
        <v>304995.5840000002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t="shared" si="8"/>
        <v>1452554.9760000003</v>
      </c>
      <c r="C8" s="204">
        <v>0.03</v>
      </c>
      <c r="D8" s="34" t="s">
        <v>118</v>
      </c>
      <c r="E8" s="35" t="s">
        <v>119</v>
      </c>
      <c r="F8" s="36" t="s">
        <v>120</v>
      </c>
      <c r="G8" s="36" t="s">
        <v>108</v>
      </c>
      <c r="H8" s="36" t="s">
        <v>102</v>
      </c>
      <c r="I8" s="37">
        <v>39689</v>
      </c>
      <c r="J8" s="38">
        <v>0.8554</v>
      </c>
      <c r="K8" s="38">
        <v>0.8657</v>
      </c>
      <c r="L8" s="39">
        <f t="shared" si="0"/>
        <v>0.8537</v>
      </c>
      <c r="M8" s="36" t="s">
        <v>108</v>
      </c>
      <c r="N8" s="37">
        <v>39731</v>
      </c>
      <c r="O8" s="38">
        <v>0.6882</v>
      </c>
      <c r="P8" s="53" t="s">
        <v>122</v>
      </c>
      <c r="Q8" s="43" t="str">
        <f t="shared" si="1"/>
        <v>勝ち</v>
      </c>
      <c r="R8" s="44">
        <f t="shared" si="2"/>
        <v>102.99999999999976</v>
      </c>
      <c r="S8" s="45">
        <f t="shared" si="3"/>
        <v>34000</v>
      </c>
      <c r="T8" s="46">
        <f t="shared" si="6"/>
        <v>1672</v>
      </c>
      <c r="U8" s="47">
        <f t="shared" si="4"/>
        <v>0</v>
      </c>
      <c r="V8" s="48">
        <f t="shared" si="5"/>
        <v>701845.4079999999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2154400.384</v>
      </c>
      <c r="C9" s="204">
        <v>0.03</v>
      </c>
      <c r="D9" s="34" t="s">
        <v>118</v>
      </c>
      <c r="E9" s="35" t="s">
        <v>119</v>
      </c>
      <c r="F9" s="36" t="s">
        <v>120</v>
      </c>
      <c r="G9" s="36" t="s">
        <v>108</v>
      </c>
      <c r="H9" s="36" t="s">
        <v>116</v>
      </c>
      <c r="I9" s="37">
        <v>39793</v>
      </c>
      <c r="J9" s="38">
        <v>0.6799</v>
      </c>
      <c r="K9" s="38">
        <v>0.6542</v>
      </c>
      <c r="L9" s="39">
        <f t="shared" si="0"/>
        <v>0.6816</v>
      </c>
      <c r="M9" s="36" t="s">
        <v>108</v>
      </c>
      <c r="N9" s="37">
        <v>39812</v>
      </c>
      <c r="O9" s="38">
        <v>0.6847</v>
      </c>
      <c r="P9" s="53" t="s">
        <v>121</v>
      </c>
      <c r="Q9" s="43" t="str">
        <f t="shared" si="1"/>
        <v>勝ち</v>
      </c>
      <c r="R9" s="44">
        <f t="shared" si="2"/>
        <v>256.99999999999943</v>
      </c>
      <c r="S9" s="45">
        <f t="shared" si="3"/>
        <v>20000</v>
      </c>
      <c r="T9" s="46">
        <f t="shared" si="6"/>
        <v>48.00000000000026</v>
      </c>
      <c r="U9" s="47">
        <f t="shared" si="4"/>
        <v>0</v>
      </c>
      <c r="V9" s="48">
        <f t="shared" si="5"/>
        <v>11852.160000000064</v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  <v>2166252.544</v>
      </c>
      <c r="C10" s="204">
        <v>0.03</v>
      </c>
      <c r="D10" s="34" t="s">
        <v>118</v>
      </c>
      <c r="E10" s="35" t="s">
        <v>119</v>
      </c>
      <c r="F10" s="36" t="s">
        <v>120</v>
      </c>
      <c r="G10" s="36" t="s">
        <v>108</v>
      </c>
      <c r="H10" s="36" t="s">
        <v>116</v>
      </c>
      <c r="I10" s="37">
        <v>39903</v>
      </c>
      <c r="J10" s="38">
        <v>0.6968</v>
      </c>
      <c r="K10" s="38">
        <v>0.6786</v>
      </c>
      <c r="L10" s="39">
        <f t="shared" si="0"/>
        <v>0.6985</v>
      </c>
      <c r="M10" s="36" t="s">
        <v>108</v>
      </c>
      <c r="N10" s="37">
        <v>39995</v>
      </c>
      <c r="O10" s="38">
        <v>0.8022</v>
      </c>
      <c r="P10" s="53" t="s">
        <v>121</v>
      </c>
      <c r="Q10" s="43" t="str">
        <f t="shared" si="1"/>
        <v>勝ち</v>
      </c>
      <c r="R10" s="44">
        <f t="shared" si="2"/>
        <v>181.99999999999994</v>
      </c>
      <c r="S10" s="45">
        <f t="shared" si="3"/>
        <v>28000</v>
      </c>
      <c r="T10" s="46">
        <f t="shared" si="6"/>
        <v>1054.0000000000005</v>
      </c>
      <c r="U10" s="47">
        <f t="shared" si="4"/>
        <v>0</v>
      </c>
      <c r="V10" s="48">
        <f t="shared" si="5"/>
        <v>364355.1520000001</v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  <v>2530607.6960000005</v>
      </c>
      <c r="C11" s="204">
        <v>0.03</v>
      </c>
      <c r="D11" s="34" t="s">
        <v>118</v>
      </c>
      <c r="E11" s="35" t="s">
        <v>119</v>
      </c>
      <c r="F11" s="36" t="s">
        <v>120</v>
      </c>
      <c r="G11" s="36" t="s">
        <v>108</v>
      </c>
      <c r="H11" s="36" t="s">
        <v>116</v>
      </c>
      <c r="I11" s="37">
        <v>40014</v>
      </c>
      <c r="J11" s="38">
        <v>0.8173</v>
      </c>
      <c r="K11" s="38">
        <v>0.8002</v>
      </c>
      <c r="L11" s="39">
        <f t="shared" si="0"/>
        <v>0.8190000000000001</v>
      </c>
      <c r="M11" s="36" t="s">
        <v>108</v>
      </c>
      <c r="N11" s="37">
        <v>40130</v>
      </c>
      <c r="O11" s="38">
        <v>0.9223</v>
      </c>
      <c r="P11" s="53" t="s">
        <v>121</v>
      </c>
      <c r="Q11" s="43" t="str">
        <f t="shared" si="1"/>
        <v>勝ち</v>
      </c>
      <c r="R11" s="44">
        <f t="shared" si="2"/>
        <v>171.00000000000003</v>
      </c>
      <c r="S11" s="45">
        <f t="shared" si="3"/>
        <v>35000</v>
      </c>
      <c r="T11" s="46">
        <f t="shared" si="6"/>
        <v>1049.9999999999998</v>
      </c>
      <c r="U11" s="47">
        <f t="shared" si="4"/>
        <v>0</v>
      </c>
      <c r="V11" s="48">
        <f t="shared" si="5"/>
        <v>453715.4999999999</v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  <v>2984323.1960000005</v>
      </c>
      <c r="C12" s="204">
        <v>0.03</v>
      </c>
      <c r="D12" s="34" t="s">
        <v>118</v>
      </c>
      <c r="E12" s="35" t="s">
        <v>119</v>
      </c>
      <c r="F12" s="36" t="s">
        <v>120</v>
      </c>
      <c r="G12" s="36" t="s">
        <v>108</v>
      </c>
      <c r="H12" s="36" t="s">
        <v>102</v>
      </c>
      <c r="I12" s="37">
        <v>40162</v>
      </c>
      <c r="J12" s="38">
        <v>0.9033</v>
      </c>
      <c r="K12" s="38">
        <v>0.9172</v>
      </c>
      <c r="L12" s="39">
        <f t="shared" si="0"/>
        <v>0.9016</v>
      </c>
      <c r="M12" s="36" t="s">
        <v>108</v>
      </c>
      <c r="N12" s="37">
        <v>40178</v>
      </c>
      <c r="O12" s="38">
        <v>0.8911</v>
      </c>
      <c r="P12" s="53" t="s">
        <v>122</v>
      </c>
      <c r="Q12" s="43" t="str">
        <f t="shared" si="1"/>
        <v>勝ち</v>
      </c>
      <c r="R12" s="44">
        <f t="shared" si="2"/>
        <v>139.00000000000023</v>
      </c>
      <c r="S12" s="45">
        <f t="shared" si="3"/>
        <v>52000</v>
      </c>
      <c r="T12" s="46">
        <f t="shared" si="6"/>
        <v>121.99999999999989</v>
      </c>
      <c r="U12" s="47">
        <f t="shared" si="4"/>
        <v>0</v>
      </c>
      <c r="V12" s="48">
        <f t="shared" si="5"/>
        <v>78323.02399999992</v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  <v>3062646.22</v>
      </c>
      <c r="C13" s="204">
        <v>0.03</v>
      </c>
      <c r="D13" s="34" t="s">
        <v>118</v>
      </c>
      <c r="E13" s="35" t="s">
        <v>119</v>
      </c>
      <c r="F13" s="36" t="s">
        <v>120</v>
      </c>
      <c r="G13" s="36" t="s">
        <v>108</v>
      </c>
      <c r="H13" s="36" t="s">
        <v>116</v>
      </c>
      <c r="I13" s="37">
        <v>40225</v>
      </c>
      <c r="J13" s="38">
        <v>0.9026</v>
      </c>
      <c r="K13" s="38">
        <v>0.8876</v>
      </c>
      <c r="L13" s="39">
        <f t="shared" si="0"/>
        <v>0.9043</v>
      </c>
      <c r="M13" s="36" t="s">
        <v>108</v>
      </c>
      <c r="N13" s="37">
        <v>40226</v>
      </c>
      <c r="O13" s="38">
        <v>0.8856</v>
      </c>
      <c r="P13" s="53" t="s">
        <v>123</v>
      </c>
      <c r="Q13" s="43" t="str">
        <f t="shared" si="1"/>
        <v>負け</v>
      </c>
      <c r="R13" s="44">
        <f t="shared" si="2"/>
        <v>150.0000000000001</v>
      </c>
      <c r="S13" s="45">
        <f t="shared" si="3"/>
        <v>49000</v>
      </c>
      <c r="T13" s="46">
        <f t="shared" si="6"/>
        <v>0</v>
      </c>
      <c r="U13" s="47">
        <f t="shared" si="4"/>
        <v>-169.99999999999903</v>
      </c>
      <c r="V13" s="48">
        <f t="shared" si="5"/>
        <v>-102842.17999999941</v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  <v>2959804.040000001</v>
      </c>
      <c r="C14" s="204">
        <v>0.03</v>
      </c>
      <c r="D14" s="34" t="s">
        <v>118</v>
      </c>
      <c r="E14" s="35" t="s">
        <v>119</v>
      </c>
      <c r="F14" s="36" t="s">
        <v>120</v>
      </c>
      <c r="G14" s="36" t="s">
        <v>108</v>
      </c>
      <c r="H14" s="36" t="s">
        <v>116</v>
      </c>
      <c r="I14" s="37">
        <v>40242</v>
      </c>
      <c r="J14" s="38">
        <v>0.9092</v>
      </c>
      <c r="K14" s="38">
        <v>0.8983</v>
      </c>
      <c r="L14" s="39">
        <f t="shared" si="0"/>
        <v>0.9109</v>
      </c>
      <c r="M14" s="36" t="s">
        <v>108</v>
      </c>
      <c r="N14" s="37">
        <v>40253</v>
      </c>
      <c r="O14" s="38">
        <v>0.9118</v>
      </c>
      <c r="P14" s="53" t="s">
        <v>121</v>
      </c>
      <c r="Q14" s="43" t="str">
        <f t="shared" si="1"/>
        <v>勝ち</v>
      </c>
      <c r="R14" s="44">
        <f t="shared" si="2"/>
        <v>109.0000000000002</v>
      </c>
      <c r="S14" s="45">
        <f t="shared" si="3"/>
        <v>65000</v>
      </c>
      <c r="T14" s="46">
        <f t="shared" si="6"/>
        <v>26.000000000000465</v>
      </c>
      <c r="U14" s="47">
        <f t="shared" si="4"/>
        <v>0</v>
      </c>
      <c r="V14" s="48">
        <f t="shared" si="5"/>
        <v>20864.740000000373</v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  <v>2980668.780000001</v>
      </c>
      <c r="C15" s="204">
        <v>0.03</v>
      </c>
      <c r="D15" s="34" t="s">
        <v>118</v>
      </c>
      <c r="E15" s="35" t="s">
        <v>119</v>
      </c>
      <c r="F15" s="36" t="s">
        <v>120</v>
      </c>
      <c r="G15" s="36" t="s">
        <v>108</v>
      </c>
      <c r="H15" s="36" t="s">
        <v>116</v>
      </c>
      <c r="I15" s="37">
        <v>40269</v>
      </c>
      <c r="J15" s="38">
        <v>0.9215</v>
      </c>
      <c r="K15" s="38">
        <v>0.9149</v>
      </c>
      <c r="L15" s="39">
        <f t="shared" si="0"/>
        <v>0.9232</v>
      </c>
      <c r="M15" s="36" t="s">
        <v>108</v>
      </c>
      <c r="N15" s="37">
        <v>40291</v>
      </c>
      <c r="O15" s="38">
        <v>0.9252</v>
      </c>
      <c r="P15" s="53" t="s">
        <v>121</v>
      </c>
      <c r="Q15" s="43" t="str">
        <f t="shared" si="1"/>
        <v>勝ち</v>
      </c>
      <c r="R15" s="44">
        <f t="shared" si="2"/>
        <v>65.99999999999939</v>
      </c>
      <c r="S15" s="45">
        <f t="shared" si="3"/>
        <v>109000</v>
      </c>
      <c r="T15" s="46">
        <f t="shared" si="6"/>
        <v>37.00000000000036</v>
      </c>
      <c r="U15" s="47">
        <f t="shared" si="4"/>
        <v>0</v>
      </c>
      <c r="V15" s="48">
        <f t="shared" si="5"/>
        <v>49791.418000000485</v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  <v>3030460.1980000017</v>
      </c>
      <c r="C16" s="204">
        <v>0.03</v>
      </c>
      <c r="D16" s="34" t="s">
        <v>118</v>
      </c>
      <c r="E16" s="35" t="s">
        <v>119</v>
      </c>
      <c r="F16" s="36" t="s">
        <v>120</v>
      </c>
      <c r="G16" s="36" t="s">
        <v>108</v>
      </c>
      <c r="H16" s="36" t="s">
        <v>102</v>
      </c>
      <c r="I16" s="275">
        <v>40302</v>
      </c>
      <c r="J16" s="38">
        <v>0.9082</v>
      </c>
      <c r="K16" s="38">
        <v>0.9272</v>
      </c>
      <c r="L16" s="39">
        <f t="shared" si="0"/>
        <v>0.9065</v>
      </c>
      <c r="M16" s="36" t="s">
        <v>108</v>
      </c>
      <c r="N16" s="37">
        <v>40324</v>
      </c>
      <c r="O16" s="38">
        <v>0.8389</v>
      </c>
      <c r="P16" s="53" t="s">
        <v>122</v>
      </c>
      <c r="Q16" s="43" t="str">
        <f t="shared" si="1"/>
        <v>勝ち</v>
      </c>
      <c r="R16" s="44">
        <f t="shared" si="2"/>
        <v>190.00000000000017</v>
      </c>
      <c r="S16" s="45">
        <f t="shared" si="3"/>
        <v>38000</v>
      </c>
      <c r="T16" s="46">
        <f t="shared" si="6"/>
        <v>693.0000000000002</v>
      </c>
      <c r="U16" s="47">
        <f t="shared" si="4"/>
        <v>0</v>
      </c>
      <c r="V16" s="48">
        <f t="shared" si="5"/>
        <v>325119.5640000001</v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  <v>3355579.762000002</v>
      </c>
      <c r="C17" s="204">
        <v>0.03</v>
      </c>
      <c r="D17" s="34" t="s">
        <v>118</v>
      </c>
      <c r="E17" s="35" t="s">
        <v>119</v>
      </c>
      <c r="F17" s="36" t="s">
        <v>120</v>
      </c>
      <c r="G17" s="36" t="s">
        <v>108</v>
      </c>
      <c r="H17" s="36" t="s">
        <v>116</v>
      </c>
      <c r="I17" s="37">
        <v>40381</v>
      </c>
      <c r="J17" s="38">
        <v>0.8952</v>
      </c>
      <c r="K17" s="38">
        <v>0.8737</v>
      </c>
      <c r="L17" s="39">
        <f t="shared" si="0"/>
        <v>0.8969</v>
      </c>
      <c r="M17" s="36" t="s">
        <v>108</v>
      </c>
      <c r="N17" s="37">
        <v>40396</v>
      </c>
      <c r="O17" s="38">
        <v>0.9133</v>
      </c>
      <c r="P17" s="53" t="s">
        <v>121</v>
      </c>
      <c r="Q17" s="43" t="str">
        <f t="shared" si="1"/>
        <v>勝ち</v>
      </c>
      <c r="R17" s="44">
        <f t="shared" si="2"/>
        <v>214.99999999999963</v>
      </c>
      <c r="S17" s="45">
        <f t="shared" si="3"/>
        <v>37000</v>
      </c>
      <c r="T17" s="46">
        <f t="shared" si="6"/>
        <v>181.00000000000003</v>
      </c>
      <c r="U17" s="47">
        <f t="shared" si="4"/>
        <v>0</v>
      </c>
      <c r="V17" s="48">
        <f t="shared" si="5"/>
        <v>82681.16200000001</v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  <v>3438260.924000002</v>
      </c>
      <c r="C18" s="204">
        <v>0.03</v>
      </c>
      <c r="D18" s="34" t="s">
        <v>118</v>
      </c>
      <c r="E18" s="35" t="s">
        <v>119</v>
      </c>
      <c r="F18" s="36" t="s">
        <v>120</v>
      </c>
      <c r="G18" s="36" t="s">
        <v>108</v>
      </c>
      <c r="H18" s="36" t="s">
        <v>116</v>
      </c>
      <c r="I18" s="37">
        <v>40422</v>
      </c>
      <c r="J18" s="38">
        <v>0.9114</v>
      </c>
      <c r="K18" s="38">
        <v>0.8899</v>
      </c>
      <c r="L18" s="39">
        <f t="shared" si="0"/>
        <v>0.9131</v>
      </c>
      <c r="M18" s="36" t="s">
        <v>108</v>
      </c>
      <c r="N18" s="37">
        <v>40452</v>
      </c>
      <c r="O18" s="38">
        <v>0.9635</v>
      </c>
      <c r="P18" s="53" t="s">
        <v>121</v>
      </c>
      <c r="Q18" s="43" t="str">
        <f t="shared" si="1"/>
        <v>勝ち</v>
      </c>
      <c r="R18" s="44">
        <f t="shared" si="2"/>
        <v>214.99999999999963</v>
      </c>
      <c r="S18" s="45">
        <f t="shared" si="3"/>
        <v>38000</v>
      </c>
      <c r="T18" s="46">
        <f t="shared" si="6"/>
        <v>521.0000000000003</v>
      </c>
      <c r="U18" s="47">
        <f t="shared" si="4"/>
        <v>0</v>
      </c>
      <c r="V18" s="48">
        <f t="shared" si="5"/>
        <v>244426.10800000015</v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  <v>3682687.032000002</v>
      </c>
      <c r="C19" s="204">
        <v>0.03</v>
      </c>
      <c r="D19" s="34" t="s">
        <v>118</v>
      </c>
      <c r="E19" s="35" t="s">
        <v>119</v>
      </c>
      <c r="F19" s="36" t="s">
        <v>120</v>
      </c>
      <c r="G19" s="36" t="s">
        <v>108</v>
      </c>
      <c r="H19" s="36" t="s">
        <v>116</v>
      </c>
      <c r="I19" s="37">
        <v>40532</v>
      </c>
      <c r="J19" s="38">
        <v>0.9948</v>
      </c>
      <c r="K19" s="38">
        <v>0.9862</v>
      </c>
      <c r="L19" s="39">
        <f t="shared" si="0"/>
        <v>0.9965</v>
      </c>
      <c r="M19" s="36" t="s">
        <v>108</v>
      </c>
      <c r="N19" s="37">
        <v>40543</v>
      </c>
      <c r="O19" s="38">
        <v>1.015</v>
      </c>
      <c r="P19" s="53" t="s">
        <v>121</v>
      </c>
      <c r="Q19" s="43" t="str">
        <f t="shared" si="1"/>
        <v>勝ち</v>
      </c>
      <c r="R19" s="44">
        <f t="shared" si="2"/>
        <v>86.00000000000051</v>
      </c>
      <c r="S19" s="45">
        <f t="shared" si="3"/>
        <v>104000</v>
      </c>
      <c r="T19" s="46">
        <f t="shared" si="6"/>
        <v>201.99999999999883</v>
      </c>
      <c r="U19" s="47">
        <f t="shared" si="4"/>
        <v>0</v>
      </c>
      <c r="V19" s="48">
        <f t="shared" si="5"/>
        <v>259364.7679999985</v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  <v>3942051.8000000003</v>
      </c>
      <c r="C20" s="204">
        <v>0.03</v>
      </c>
      <c r="D20" s="34" t="s">
        <v>118</v>
      </c>
      <c r="E20" s="35" t="s">
        <v>119</v>
      </c>
      <c r="F20" s="36" t="s">
        <v>120</v>
      </c>
      <c r="G20" s="36" t="s">
        <v>108</v>
      </c>
      <c r="H20" s="36" t="s">
        <v>116</v>
      </c>
      <c r="I20" s="37">
        <v>40639</v>
      </c>
      <c r="J20" s="38">
        <v>1.04497</v>
      </c>
      <c r="K20" s="38">
        <v>1.03135</v>
      </c>
      <c r="L20" s="39">
        <f t="shared" si="0"/>
        <v>1.04667</v>
      </c>
      <c r="M20" s="36" t="s">
        <v>108</v>
      </c>
      <c r="N20" s="37">
        <v>40659</v>
      </c>
      <c r="O20" s="38">
        <v>1.06757</v>
      </c>
      <c r="P20" s="53" t="s">
        <v>121</v>
      </c>
      <c r="Q20" s="43" t="str">
        <f t="shared" si="1"/>
        <v>勝ち</v>
      </c>
      <c r="R20" s="44">
        <f t="shared" si="2"/>
        <v>136.19999999999965</v>
      </c>
      <c r="S20" s="45">
        <f t="shared" si="3"/>
        <v>70000</v>
      </c>
      <c r="T20" s="46">
        <f t="shared" si="6"/>
        <v>225.99999999999952</v>
      </c>
      <c r="U20" s="47">
        <f t="shared" si="4"/>
        <v>0</v>
      </c>
      <c r="V20" s="48">
        <f t="shared" si="5"/>
        <v>195313.71999999956</v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  <v>4137365.52</v>
      </c>
      <c r="C21" s="204">
        <v>0.03</v>
      </c>
      <c r="D21" s="34" t="s">
        <v>118</v>
      </c>
      <c r="E21" s="35" t="s">
        <v>119</v>
      </c>
      <c r="F21" s="36" t="s">
        <v>120</v>
      </c>
      <c r="G21" s="36" t="s">
        <v>108</v>
      </c>
      <c r="H21" s="36" t="s">
        <v>102</v>
      </c>
      <c r="I21" s="37">
        <v>40674</v>
      </c>
      <c r="J21" s="38">
        <v>1.06632</v>
      </c>
      <c r="K21" s="38">
        <v>1.08871</v>
      </c>
      <c r="L21" s="39">
        <f t="shared" si="0"/>
        <v>1.06462</v>
      </c>
      <c r="M21" s="36" t="s">
        <v>108</v>
      </c>
      <c r="N21" s="37">
        <v>40697</v>
      </c>
      <c r="O21" s="38">
        <v>1.06488</v>
      </c>
      <c r="P21" s="53" t="s">
        <v>122</v>
      </c>
      <c r="Q21" s="43" t="str">
        <f t="shared" si="1"/>
        <v>勝ち</v>
      </c>
      <c r="R21" s="44">
        <f t="shared" si="2"/>
        <v>223.9000000000013</v>
      </c>
      <c r="S21" s="45">
        <f t="shared" si="3"/>
        <v>44000</v>
      </c>
      <c r="T21" s="46">
        <f t="shared" si="6"/>
        <v>14.399999999998858</v>
      </c>
      <c r="U21" s="47">
        <f t="shared" si="4"/>
        <v>0</v>
      </c>
      <c r="V21" s="48">
        <f t="shared" si="5"/>
        <v>7822.425599999378</v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  <v>4145187.9455999993</v>
      </c>
      <c r="C22" s="204">
        <v>0.03</v>
      </c>
      <c r="D22" s="34" t="s">
        <v>118</v>
      </c>
      <c r="E22" s="35" t="s">
        <v>119</v>
      </c>
      <c r="F22" s="36" t="s">
        <v>120</v>
      </c>
      <c r="G22" s="36" t="s">
        <v>108</v>
      </c>
      <c r="H22" s="36" t="s">
        <v>116</v>
      </c>
      <c r="I22" s="37">
        <v>40731</v>
      </c>
      <c r="J22" s="38">
        <v>1.07784</v>
      </c>
      <c r="K22" s="38">
        <v>1.06848</v>
      </c>
      <c r="L22" s="39">
        <f t="shared" si="0"/>
        <v>1.07954</v>
      </c>
      <c r="M22" s="36" t="s">
        <v>108</v>
      </c>
      <c r="N22" s="37">
        <v>40744</v>
      </c>
      <c r="O22" s="38">
        <v>1.06297</v>
      </c>
      <c r="P22" s="53" t="s">
        <v>123</v>
      </c>
      <c r="Q22" s="43" t="str">
        <f t="shared" si="1"/>
        <v>負け</v>
      </c>
      <c r="R22" s="44">
        <f t="shared" si="2"/>
        <v>93.59999999999812</v>
      </c>
      <c r="S22" s="45">
        <f t="shared" si="3"/>
        <v>107000</v>
      </c>
      <c r="T22" s="46">
        <f t="shared" si="6"/>
        <v>0</v>
      </c>
      <c r="U22" s="47">
        <f t="shared" si="4"/>
        <v>-148.6999999999994</v>
      </c>
      <c r="V22" s="48">
        <f t="shared" si="5"/>
        <v>-196435.9713999992</v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  <v>3948751.9742</v>
      </c>
      <c r="C23" s="204">
        <v>0.03</v>
      </c>
      <c r="D23" s="34" t="s">
        <v>118</v>
      </c>
      <c r="E23" s="35" t="s">
        <v>119</v>
      </c>
      <c r="F23" s="36" t="s">
        <v>120</v>
      </c>
      <c r="G23" s="36" t="s">
        <v>108</v>
      </c>
      <c r="H23" s="36" t="s">
        <v>116</v>
      </c>
      <c r="I23" s="37">
        <v>40781</v>
      </c>
      <c r="J23" s="38">
        <v>1.05903</v>
      </c>
      <c r="K23" s="38">
        <v>1.0415</v>
      </c>
      <c r="L23" s="39">
        <f t="shared" si="0"/>
        <v>1.06073</v>
      </c>
      <c r="M23" s="36" t="s">
        <v>108</v>
      </c>
      <c r="N23" s="37">
        <v>40787</v>
      </c>
      <c r="O23" s="38">
        <v>1.02539</v>
      </c>
      <c r="P23" s="53" t="s">
        <v>123</v>
      </c>
      <c r="Q23" s="43" t="str">
        <f t="shared" si="1"/>
        <v>負け</v>
      </c>
      <c r="R23" s="44">
        <f t="shared" si="2"/>
        <v>175.29999999999822</v>
      </c>
      <c r="S23" s="45">
        <f t="shared" si="3"/>
        <v>54000</v>
      </c>
      <c r="T23" s="46">
        <f t="shared" si="6"/>
        <v>0</v>
      </c>
      <c r="U23" s="47">
        <f t="shared" si="4"/>
        <v>-336.3999999999989</v>
      </c>
      <c r="V23" s="48">
        <f t="shared" si="5"/>
        <v>-224272.49759999925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  <v>3724479.4766000006</v>
      </c>
      <c r="C24" s="204">
        <v>0.03</v>
      </c>
      <c r="D24" s="34" t="s">
        <v>118</v>
      </c>
      <c r="E24" s="35" t="s">
        <v>119</v>
      </c>
      <c r="F24" s="36" t="s">
        <v>120</v>
      </c>
      <c r="G24" s="36" t="s">
        <v>108</v>
      </c>
      <c r="H24" s="36" t="s">
        <v>102</v>
      </c>
      <c r="I24" s="37">
        <v>40807</v>
      </c>
      <c r="J24" s="38">
        <v>1.00321</v>
      </c>
      <c r="K24" s="38">
        <v>1.029</v>
      </c>
      <c r="L24" s="39">
        <f t="shared" si="0"/>
        <v>1.00151</v>
      </c>
      <c r="M24" s="36" t="s">
        <v>108</v>
      </c>
      <c r="N24" s="37">
        <v>40814</v>
      </c>
      <c r="O24" s="38">
        <v>0.99532</v>
      </c>
      <c r="P24" s="53" t="s">
        <v>122</v>
      </c>
      <c r="Q24" s="43" t="str">
        <f t="shared" si="1"/>
        <v>勝ち</v>
      </c>
      <c r="R24" s="44">
        <f t="shared" si="2"/>
        <v>257.8999999999998</v>
      </c>
      <c r="S24" s="45">
        <f t="shared" si="3"/>
        <v>35000</v>
      </c>
      <c r="T24" s="46">
        <f t="shared" si="6"/>
        <v>78.89999999999952</v>
      </c>
      <c r="U24" s="47">
        <f t="shared" si="4"/>
        <v>0</v>
      </c>
      <c r="V24" s="48">
        <f t="shared" si="5"/>
        <v>34093.47899999979</v>
      </c>
    </row>
    <row r="25" spans="1:22" ht="13.5">
      <c r="A25" s="52">
        <v>21</v>
      </c>
      <c r="B25" s="209">
        <f t="shared" si="8"/>
        <v>3758572.9556000005</v>
      </c>
      <c r="C25" s="204">
        <v>0.03</v>
      </c>
      <c r="D25" s="34" t="s">
        <v>118</v>
      </c>
      <c r="E25" s="35" t="s">
        <v>119</v>
      </c>
      <c r="F25" s="36" t="s">
        <v>120</v>
      </c>
      <c r="G25" s="36" t="s">
        <v>108</v>
      </c>
      <c r="H25" s="36" t="s">
        <v>116</v>
      </c>
      <c r="I25" s="37">
        <v>40837</v>
      </c>
      <c r="J25" s="38">
        <v>1.02042</v>
      </c>
      <c r="K25" s="38">
        <v>0.98632</v>
      </c>
      <c r="L25" s="39">
        <f t="shared" si="0"/>
        <v>1.0221200000000001</v>
      </c>
      <c r="M25" s="36" t="s">
        <v>108</v>
      </c>
      <c r="N25" s="37">
        <v>40843</v>
      </c>
      <c r="O25" s="38">
        <v>1.03798</v>
      </c>
      <c r="P25" s="53" t="s">
        <v>121</v>
      </c>
      <c r="Q25" s="43" t="str">
        <f t="shared" si="1"/>
        <v>勝ち</v>
      </c>
      <c r="R25" s="44">
        <f t="shared" si="2"/>
        <v>341.0000000000013</v>
      </c>
      <c r="S25" s="45">
        <f t="shared" si="3"/>
        <v>26000</v>
      </c>
      <c r="T25" s="46">
        <f t="shared" si="6"/>
        <v>175.59999999999798</v>
      </c>
      <c r="U25" s="47">
        <f t="shared" si="4"/>
        <v>0</v>
      </c>
      <c r="V25" s="48">
        <f t="shared" si="5"/>
        <v>56366.89759999935</v>
      </c>
    </row>
    <row r="26" spans="1:22" ht="13.5">
      <c r="A26" s="52">
        <v>22</v>
      </c>
      <c r="B26" s="209">
        <f t="shared" si="8"/>
        <v>3814939.8532</v>
      </c>
      <c r="C26" s="204">
        <v>0.03</v>
      </c>
      <c r="D26" s="34" t="s">
        <v>118</v>
      </c>
      <c r="E26" s="35" t="s">
        <v>119</v>
      </c>
      <c r="F26" s="36" t="s">
        <v>120</v>
      </c>
      <c r="G26" s="36" t="s">
        <v>108</v>
      </c>
      <c r="H26" s="36" t="s">
        <v>102</v>
      </c>
      <c r="I26" s="37">
        <v>40856</v>
      </c>
      <c r="J26" s="38">
        <v>1.01354</v>
      </c>
      <c r="K26" s="38">
        <v>1.0396</v>
      </c>
      <c r="L26" s="39">
        <f t="shared" si="0"/>
        <v>1.01184</v>
      </c>
      <c r="M26" s="36" t="s">
        <v>108</v>
      </c>
      <c r="N26" s="37">
        <v>40908</v>
      </c>
      <c r="O26" s="38">
        <v>0.97714</v>
      </c>
      <c r="P26" s="53" t="s">
        <v>122</v>
      </c>
      <c r="Q26" s="43" t="str">
        <f t="shared" si="1"/>
        <v>勝ち</v>
      </c>
      <c r="R26" s="44">
        <f t="shared" si="2"/>
        <v>260.5999999999997</v>
      </c>
      <c r="S26" s="45">
        <f t="shared" si="3"/>
        <v>35000</v>
      </c>
      <c r="T26" s="46">
        <f t="shared" si="6"/>
        <v>364.00000000000097</v>
      </c>
      <c r="U26" s="47">
        <f t="shared" si="4"/>
        <v>0</v>
      </c>
      <c r="V26" s="48">
        <f t="shared" si="5"/>
        <v>157288.04000000042</v>
      </c>
    </row>
    <row r="27" spans="1:22" ht="13.5">
      <c r="A27" s="52">
        <v>23</v>
      </c>
      <c r="B27" s="209">
        <f t="shared" si="8"/>
        <v>3972227.8932000003</v>
      </c>
      <c r="C27" s="204">
        <v>0.03</v>
      </c>
      <c r="D27" s="34" t="s">
        <v>118</v>
      </c>
      <c r="E27" s="35" t="s">
        <v>119</v>
      </c>
      <c r="F27" s="36" t="s">
        <v>120</v>
      </c>
      <c r="G27" s="36" t="s">
        <v>108</v>
      </c>
      <c r="H27" s="36" t="s">
        <v>116</v>
      </c>
      <c r="I27" s="37">
        <v>40198</v>
      </c>
      <c r="J27" s="38">
        <v>1.04855</v>
      </c>
      <c r="K27" s="38">
        <v>1.03817</v>
      </c>
      <c r="L27" s="39">
        <f t="shared" si="0"/>
        <v>1.0502500000000001</v>
      </c>
      <c r="M27" s="36" t="s">
        <v>108</v>
      </c>
      <c r="N27" s="37">
        <v>40946</v>
      </c>
      <c r="O27" s="38">
        <v>1.06999</v>
      </c>
      <c r="P27" s="53" t="s">
        <v>121</v>
      </c>
      <c r="Q27" s="43" t="str">
        <f t="shared" si="1"/>
        <v>勝ち</v>
      </c>
      <c r="R27" s="44">
        <f t="shared" si="2"/>
        <v>103.80000000000055</v>
      </c>
      <c r="S27" s="45">
        <f t="shared" si="3"/>
        <v>92000</v>
      </c>
      <c r="T27" s="46">
        <f t="shared" si="6"/>
        <v>214.39999999999904</v>
      </c>
      <c r="U27" s="47">
        <f t="shared" si="4"/>
        <v>0</v>
      </c>
      <c r="V27" s="48">
        <f t="shared" si="5"/>
        <v>243522.38079999888</v>
      </c>
    </row>
    <row r="28" spans="1:22" ht="13.5">
      <c r="A28" s="52">
        <v>24</v>
      </c>
      <c r="B28" s="209">
        <f t="shared" si="8"/>
        <v>4215750.273999999</v>
      </c>
      <c r="C28" s="204">
        <v>0.03</v>
      </c>
      <c r="D28" s="34" t="s">
        <v>118</v>
      </c>
      <c r="E28" s="35" t="s">
        <v>119</v>
      </c>
      <c r="F28" s="36" t="s">
        <v>120</v>
      </c>
      <c r="G28" s="36" t="s">
        <v>108</v>
      </c>
      <c r="H28" s="36" t="s">
        <v>116</v>
      </c>
      <c r="I28" s="37">
        <v>40969</v>
      </c>
      <c r="J28" s="38">
        <v>1.08098</v>
      </c>
      <c r="K28" s="38">
        <v>1.07221</v>
      </c>
      <c r="L28" s="39">
        <f t="shared" si="0"/>
        <v>1.08268</v>
      </c>
      <c r="M28" s="36" t="s">
        <v>108</v>
      </c>
      <c r="N28" s="37">
        <v>40975</v>
      </c>
      <c r="O28" s="38">
        <v>1.06544</v>
      </c>
      <c r="P28" s="53" t="s">
        <v>123</v>
      </c>
      <c r="Q28" s="43" t="str">
        <f t="shared" si="1"/>
        <v>負け</v>
      </c>
      <c r="R28" s="44">
        <f t="shared" si="2"/>
        <v>87.69999999999943</v>
      </c>
      <c r="S28" s="45">
        <f t="shared" si="3"/>
        <v>116000</v>
      </c>
      <c r="T28" s="46">
        <f t="shared" si="6"/>
        <v>0</v>
      </c>
      <c r="U28" s="47">
        <f t="shared" si="4"/>
        <v>-155.40000000000109</v>
      </c>
      <c r="V28" s="48">
        <f t="shared" si="5"/>
        <v>-222553.93440000154</v>
      </c>
    </row>
    <row r="29" spans="1:22" ht="13.5">
      <c r="A29" s="52">
        <v>25</v>
      </c>
      <c r="B29" s="209">
        <f t="shared" si="8"/>
        <v>3993196.3395999977</v>
      </c>
      <c r="C29" s="204">
        <v>0.03</v>
      </c>
      <c r="D29" s="34" t="s">
        <v>118</v>
      </c>
      <c r="E29" s="35" t="s">
        <v>119</v>
      </c>
      <c r="F29" s="36" t="s">
        <v>120</v>
      </c>
      <c r="G29" s="36" t="s">
        <v>108</v>
      </c>
      <c r="H29" s="36" t="s">
        <v>102</v>
      </c>
      <c r="I29" s="37">
        <v>40988</v>
      </c>
      <c r="J29" s="38">
        <v>1.04558</v>
      </c>
      <c r="K29" s="38">
        <v>1.06236</v>
      </c>
      <c r="L29" s="39">
        <f t="shared" si="0"/>
        <v>1.04388</v>
      </c>
      <c r="M29" s="36" t="s">
        <v>108</v>
      </c>
      <c r="N29" s="37">
        <v>41051</v>
      </c>
      <c r="O29" s="38">
        <v>0.99337</v>
      </c>
      <c r="P29" s="53" t="s">
        <v>122</v>
      </c>
      <c r="Q29" s="43" t="str">
        <f t="shared" si="1"/>
        <v>勝ち</v>
      </c>
      <c r="R29" s="44">
        <f t="shared" si="2"/>
        <v>167.80000000000015</v>
      </c>
      <c r="S29" s="45">
        <f t="shared" si="3"/>
        <v>57000</v>
      </c>
      <c r="T29" s="46">
        <f t="shared" si="6"/>
        <v>522.0999999999998</v>
      </c>
      <c r="U29" s="47">
        <f t="shared" si="4"/>
        <v>0</v>
      </c>
      <c r="V29" s="48">
        <f t="shared" si="5"/>
        <v>367413.2561999998</v>
      </c>
    </row>
    <row r="30" spans="1:22" ht="13.5">
      <c r="A30" s="52">
        <v>26</v>
      </c>
      <c r="B30" s="209">
        <f t="shared" si="8"/>
        <v>4360609.595799997</v>
      </c>
      <c r="C30" s="204">
        <v>0.02</v>
      </c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50">
        <f>SUM(T5:T124)+SUM(U5:U124)</f>
        <v>7714.899999999998</v>
      </c>
      <c r="U125" s="250"/>
      <c r="V125" s="77">
        <f>SUM(V5:V124)</f>
        <v>3360609.5957999974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51" t="s">
        <v>34</v>
      </c>
      <c r="G128" s="252"/>
      <c r="H128" s="253"/>
      <c r="J128" s="254" t="s">
        <v>82</v>
      </c>
      <c r="K128" s="255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56"/>
      <c r="H129" s="257"/>
      <c r="J129" s="218" t="s">
        <v>111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17</v>
      </c>
      <c r="H130" s="259"/>
      <c r="J130" s="218" t="s">
        <v>112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8</v>
      </c>
      <c r="H131" s="259"/>
      <c r="J131" s="218" t="s">
        <v>113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25</v>
      </c>
      <c r="H132" s="259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21</v>
      </c>
      <c r="H133" s="259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5">
        <f>COUNTIF(Q5:Q124,"負け")</f>
        <v>4</v>
      </c>
      <c r="H134" s="266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5">
        <f>COUNTIF(Q5:Q124,"ドロー")</f>
        <v>0</v>
      </c>
      <c r="H135" s="266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5">
        <f>COUNTIF(Q5:Q124,"保留中")</f>
        <v>0</v>
      </c>
      <c r="H136" s="266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61">
        <f>SUMIF(Q5:Q124,"勝ち",V5:V124)</f>
        <v>4106714.1791999973</v>
      </c>
      <c r="H137" s="26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73">
        <f>SUMIF(Q5:Q124,"負け",V5:V124)</f>
        <v>-746104.5833999994</v>
      </c>
      <c r="H138" s="274"/>
      <c r="J138" s="260" t="s">
        <v>51</v>
      </c>
      <c r="K138" s="260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61">
        <f>G137+G138</f>
        <v>3360609.595799998</v>
      </c>
      <c r="H139" s="262"/>
      <c r="J139" s="201" t="s">
        <v>104</v>
      </c>
      <c r="K139" s="82">
        <f aca="true" t="shared" si="19" ref="K139:K144">COUNTIF($F$5:$F$124,J139)</f>
        <v>25</v>
      </c>
      <c r="L139" s="82">
        <f>_xlfn.COUNTIFS($H$5:$H$124,"買い",$F$5:$F$124,J139)</f>
        <v>17</v>
      </c>
      <c r="M139" s="83">
        <f>_xlfn.COUNTIFS($F$5:$F$124,J139,$H$5:$H$124,"売り")</f>
        <v>8</v>
      </c>
      <c r="N139" s="84">
        <f aca="true" t="shared" si="20" ref="N139:N144">SUMIF($F$5:$F$124,J139,$T$5:$T$124)+SUMIF($F$5:$F$124,J139,$U$5:$U$124)</f>
        <v>7714.899999999998</v>
      </c>
      <c r="O139" s="160">
        <f>_xlfn.COUNTIFS($Q$5:$Q$124,"勝ち",$F$5:$F$124,J139)/(COUNTIF($F$5:$F$124,J139)-_xlfn.COUNTIFS($F$5:$F$124,J139,$Q$5:$Q$124,"ドロー"))*100</f>
        <v>84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63">
        <f>G137/COUNTA(H5:H124)</f>
        <v>164268.5671679999</v>
      </c>
      <c r="H140" s="264"/>
      <c r="J140" s="218" t="s">
        <v>110</v>
      </c>
      <c r="K140" s="82">
        <f t="shared" si="19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20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63">
        <f>G139/COUNTA(H5:H124)</f>
        <v>134424.3838319999</v>
      </c>
      <c r="H141" s="264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67"/>
      <c r="H142" s="268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67"/>
      <c r="H143" s="268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69">
        <f>MAX(T5:T124)</f>
        <v>1672</v>
      </c>
      <c r="H144" s="270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71">
        <f>G133/(G132-G135)</f>
        <v>0.84</v>
      </c>
      <c r="H145" s="272"/>
      <c r="J145" s="85" t="s">
        <v>33</v>
      </c>
      <c r="K145" s="86">
        <f>SUM(K139:K144)</f>
        <v>25</v>
      </c>
      <c r="L145" s="86">
        <f>SUM(L139:L144)</f>
        <v>17</v>
      </c>
      <c r="M145" s="86">
        <f>SUM(M139:M144)</f>
        <v>8</v>
      </c>
      <c r="N145" s="80">
        <f>SUM(N139:N144)</f>
        <v>7714.899999999998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2015-09-11T23:31:39Z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