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105" windowWidth="16875" windowHeight="7725" tabRatio="744" activeTab="1"/>
  </bookViews>
  <sheets>
    <sheet name="ルール＆合計" sheetId="1" r:id="rId1"/>
    <sheet name="検証データ" sheetId="2" r:id="rId2"/>
    <sheet name="画像" sheetId="3" r:id="rId3"/>
    <sheet name="気づき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<sst xmlns="http://schemas.openxmlformats.org/spreadsheetml/2006/main" count="169" uniqueCount="157">
  <si>
    <t>※入力</t>
  </si>
  <si>
    <t>※入力</t>
  </si>
  <si>
    <t>初期資金</t>
  </si>
  <si>
    <t>スタート日</t>
  </si>
  <si>
    <t>現在資金</t>
  </si>
  <si>
    <t>損切り</t>
  </si>
  <si>
    <t>資金増減</t>
  </si>
  <si>
    <t>※入力</t>
  </si>
  <si>
    <t>トータル集計</t>
  </si>
  <si>
    <t>※入力</t>
  </si>
  <si>
    <t>※入力</t>
  </si>
  <si>
    <t>集計</t>
  </si>
  <si>
    <t>利益合計</t>
  </si>
  <si>
    <t>損失合計</t>
  </si>
  <si>
    <t>損益</t>
  </si>
  <si>
    <t>利益トレード
回数</t>
  </si>
  <si>
    <t>損失トレード
回数</t>
  </si>
  <si>
    <t>総トレード
回数</t>
  </si>
  <si>
    <t>勝率</t>
  </si>
  <si>
    <t>平均利益</t>
  </si>
  <si>
    <t>平均損失</t>
  </si>
  <si>
    <t>平均利益
/平均損失</t>
  </si>
  <si>
    <t>総利益
/総損失(PF)</t>
  </si>
  <si>
    <t>2014年　　合計</t>
  </si>
  <si>
    <t>※リスクリワードレシオ</t>
  </si>
  <si>
    <t>※プロフィットファクター</t>
  </si>
  <si>
    <t>仕掛け２</t>
  </si>
  <si>
    <t>決済ルール</t>
  </si>
  <si>
    <t>通貨ペア</t>
  </si>
  <si>
    <t>右側円の場合=100</t>
  </si>
  <si>
    <t>ドル円レート=今のレート</t>
  </si>
  <si>
    <t>時間足</t>
  </si>
  <si>
    <t>USD/JPY、EUR/JPY</t>
  </si>
  <si>
    <t>EUR/USD、GBP/USD</t>
  </si>
  <si>
    <t>結果資金</t>
  </si>
  <si>
    <t>売買</t>
  </si>
  <si>
    <t>ロット</t>
  </si>
  <si>
    <t>時間足</t>
  </si>
  <si>
    <t>エントリー日時</t>
  </si>
  <si>
    <t>エントリー価格</t>
  </si>
  <si>
    <t>決済日時</t>
  </si>
  <si>
    <t>決済価格</t>
  </si>
  <si>
    <t>損益pips</t>
  </si>
  <si>
    <t>損益金額　</t>
  </si>
  <si>
    <t>ストップ設定価格</t>
  </si>
  <si>
    <t>ロス(％)</t>
  </si>
  <si>
    <t>ロスカット幅(pips)</t>
  </si>
  <si>
    <t>損失上限</t>
  </si>
  <si>
    <t>現在のドル円レート</t>
  </si>
  <si>
    <t>万通貨</t>
  </si>
  <si>
    <t>1pips(円)</t>
  </si>
  <si>
    <t>買</t>
  </si>
  <si>
    <t>４H</t>
  </si>
  <si>
    <t>売</t>
  </si>
  <si>
    <t>現合計</t>
  </si>
  <si>
    <t>トレード詳細データ</t>
  </si>
  <si>
    <t>通貨ペア別エントリー回数</t>
  </si>
  <si>
    <t>Sell</t>
  </si>
  <si>
    <t>トレード期間</t>
  </si>
  <si>
    <t>買いエントリー回数</t>
  </si>
  <si>
    <t>売りエントリー回数</t>
  </si>
  <si>
    <t>合計トレード回数</t>
  </si>
  <si>
    <t>合計勝ち数</t>
  </si>
  <si>
    <t>合計負け数</t>
  </si>
  <si>
    <t>引き分け</t>
  </si>
  <si>
    <t>保留</t>
  </si>
  <si>
    <t>合計利益</t>
  </si>
  <si>
    <t>合計損失</t>
  </si>
  <si>
    <t>合計損益</t>
  </si>
  <si>
    <t>平均利益</t>
  </si>
  <si>
    <t>平均損失</t>
  </si>
  <si>
    <t>最大連勝数</t>
  </si>
  <si>
    <t>最大連敗数</t>
  </si>
  <si>
    <t>最大DD(pips)</t>
  </si>
  <si>
    <t>勝率</t>
  </si>
  <si>
    <t>合計</t>
  </si>
  <si>
    <t>エントリー手法別エントリー回数</t>
  </si>
  <si>
    <t>Sell</t>
  </si>
  <si>
    <t>損益pips</t>
  </si>
  <si>
    <t>リベンジャーズ</t>
  </si>
  <si>
    <t>PAリベンジャーズ</t>
  </si>
  <si>
    <t>TJK</t>
  </si>
  <si>
    <t>HIS +1010</t>
  </si>
  <si>
    <t>RF +1010</t>
  </si>
  <si>
    <t>合計</t>
  </si>
  <si>
    <t>１．今、のあなたの現状を書いてください。</t>
  </si>
  <si>
    <t>（投資歴はどれくらいなのか、現状は勝てているのか負けているか？など）</t>
  </si>
  <si>
    <t>気づき：</t>
  </si>
  <si>
    <t>ダイバージェンス</t>
  </si>
  <si>
    <t>EB、,PB、ダウでたらストップを移動していく</t>
  </si>
  <si>
    <t>・２０pipで建値へ</t>
  </si>
  <si>
    <t>CHF/JPY</t>
  </si>
  <si>
    <t>日足→４H</t>
  </si>
  <si>
    <t>ストップはPBEBと同じ</t>
  </si>
  <si>
    <t>◆黄色セルに入力◆</t>
  </si>
  <si>
    <t>ドル円・クロス円レート</t>
  </si>
  <si>
    <t>資金</t>
  </si>
  <si>
    <t>USD/JPY</t>
  </si>
  <si>
    <t>FT2の資金</t>
  </si>
  <si>
    <t>リスク（％）</t>
  </si>
  <si>
    <t>EUR/JPY</t>
  </si>
  <si>
    <t>エントリーの位置</t>
  </si>
  <si>
    <t>損切幅</t>
  </si>
  <si>
    <t>通貨ペア</t>
  </si>
  <si>
    <t>GBP/JPY</t>
  </si>
  <si>
    <t>ストップの位置</t>
  </si>
  <si>
    <t>AUD/JPY</t>
  </si>
  <si>
    <t>↓↓↓↓↓↓↓↓↓↓↓↓</t>
  </si>
  <si>
    <t>NZD/JPY</t>
  </si>
  <si>
    <t>取引通貨数</t>
  </si>
  <si>
    <t>CAD/JPY</t>
  </si>
  <si>
    <t>損切上限額</t>
  </si>
  <si>
    <t>CHF/JPY</t>
  </si>
  <si>
    <t>損切額</t>
  </si>
  <si>
    <t>※レートは定期的に更新すること</t>
  </si>
  <si>
    <t>USD/JPY</t>
  </si>
  <si>
    <t>USD/CAD</t>
  </si>
  <si>
    <t>USD/CHF</t>
  </si>
  <si>
    <t>EUR/JPY</t>
  </si>
  <si>
    <t>EUR/USD</t>
  </si>
  <si>
    <t>EUR/GBP</t>
  </si>
  <si>
    <t>EUR/AUD</t>
  </si>
  <si>
    <t>EUR/NZD</t>
  </si>
  <si>
    <t>EUR/CAD</t>
  </si>
  <si>
    <t>EUR/CHF</t>
  </si>
  <si>
    <t>GBP/JPY</t>
  </si>
  <si>
    <t>GBP/USD</t>
  </si>
  <si>
    <t>GBP/AUD</t>
  </si>
  <si>
    <t>GBP/NZD</t>
  </si>
  <si>
    <t>GBP/CAD</t>
  </si>
  <si>
    <t>GBP/CHF</t>
  </si>
  <si>
    <t>AUD/JPY</t>
  </si>
  <si>
    <t>AUD/USD</t>
  </si>
  <si>
    <t>AUD/NZD</t>
  </si>
  <si>
    <t>AUD/CAD</t>
  </si>
  <si>
    <t>AUD/CHF</t>
  </si>
  <si>
    <t>NZD/JPY</t>
  </si>
  <si>
    <t>NZD/USD</t>
  </si>
  <si>
    <t>NZD/CAD</t>
  </si>
  <si>
    <t>NZD/CHF</t>
  </si>
  <si>
    <t>CAD/JPY</t>
  </si>
  <si>
    <t>CAD/CHF</t>
  </si>
  <si>
    <t>EUR/GBP</t>
  </si>
  <si>
    <t>チャートパターン</t>
  </si>
  <si>
    <t>AUDUSD</t>
  </si>
  <si>
    <t>EURJPY</t>
  </si>
  <si>
    <t>EURCHF</t>
  </si>
  <si>
    <t>GBPCAD</t>
  </si>
  <si>
    <t>GBPAUD</t>
  </si>
  <si>
    <t>チャートパターンはあまり検証できていませんで</t>
  </si>
  <si>
    <t>デモ画面を見ているとエントリータイミングがチャートパターンしか見えず</t>
  </si>
  <si>
    <t>エントリーしていました。</t>
  </si>
  <si>
    <t>あとから見返すとなぜここでエントリーしたんだろうとわからなくなる</t>
  </si>
  <si>
    <t>トレードもありました。</t>
  </si>
  <si>
    <t>ルールどおりと思っていてもそうでなかったんだと気づきました。</t>
  </si>
  <si>
    <t>ルールはいつでも確認できるような状態にするべきと思いました。</t>
  </si>
  <si>
    <t>結果的には勝ちが多くよかったです。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</si>
</sst>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yyyy/m/d;@"/>
    <numFmt numFmtId="178" formatCode="m/d;@"/>
    <numFmt numFmtId="179" formatCode="&quot;\&quot;#,##0_);[Red]\(&quot;\&quot;#,##0\)"/>
    <numFmt numFmtId="180" formatCode="0_);[Red]\(0\)"/>
    <numFmt numFmtId="181" formatCode="#,##0_ ;[Red]\-#,##0\ "/>
    <numFmt numFmtId="182" formatCode="0.0%"/>
    <numFmt numFmtId="183" formatCode="0.00_ "/>
    <numFmt numFmtId="184" formatCode="#,##0.0;[Red]\-#,##0.0"/>
    <numFmt numFmtId="185" formatCode="0_ ;[Red]\-0\ "/>
    <numFmt numFmtId="186" formatCode="#,##0;[Red]#,##0"/>
    <numFmt numFmtId="187" formatCode="#,##0.0;#,##0.0"/>
    <numFmt numFmtId="188" formatCode="#,##0;#,##0"/>
    <numFmt numFmtId="189" formatCode="#,##0.00;#,##0.00"/>
    <numFmt numFmtId="190" formatCode="yyyy/m/d"/>
    <numFmt numFmtId="191" formatCode="0.0_ "/>
    <numFmt numFmtId="192" formatCode="0_ "/>
    <numFmt numFmtId="193" formatCode="#,##0_ "/>
    <numFmt numFmtId="194" formatCode="0.000"/>
    <numFmt numFmtId="195" formatCode="0,000&quot;通&quot;&quot;貨&quot;"/>
    <numFmt numFmtId="196" formatCode="#,###,###&quot;円&quot;"/>
    <numFmt numFmtId="197" formatCode="0.000_ "/>
    <numFmt numFmtId="198" formatCode="#.0&quot;pips&quot;"/>
    <numFmt numFmtId="199" formatCode="0.0&quot;万&quot;&quot;通&quot;&quot;貨&quot;"/>
    <numFmt numFmtId="200" formatCode="#,###&quot;円&quot;"/>
    <numFmt numFmtId="201" formatCode="0.00000_ "/>
  </numFmts>
  <fonts count="36">
    <font>
      <sz val="11"/>
      <color indexed="8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2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MS PGothic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7"/>
      <name val="ＭＳ Ｐゴシック"/>
      <family val="3"/>
    </font>
    <font>
      <sz val="11"/>
      <color indexed="49"/>
      <name val="ＭＳ Ｐゴシック"/>
      <family val="3"/>
    </font>
    <font>
      <sz val="11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b/>
      <sz val="14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color indexed="12"/>
      <name val="ＭＳ Ｐゴシック"/>
      <family val="3"/>
    </font>
    <font>
      <b/>
      <sz val="14"/>
      <color indexed="9"/>
      <name val="ＭＳ Ｐゴシック"/>
      <family val="3"/>
    </font>
    <font>
      <b/>
      <sz val="14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b/>
      <sz val="11"/>
      <color indexed="10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 style="dotted"/>
      <right style="dotted">
        <color indexed="9"/>
      </right>
      <top style="medium"/>
      <bottom>
        <color indexed="63"/>
      </bottom>
    </border>
    <border>
      <left style="dotted"/>
      <right>
        <color indexed="63"/>
      </right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>
        <color indexed="60"/>
      </bottom>
    </border>
    <border>
      <left style="thin"/>
      <right style="dotted"/>
      <top style="thin"/>
      <bottom style="double">
        <color indexed="60"/>
      </bottom>
    </border>
    <border>
      <left style="dotted"/>
      <right style="dotted"/>
      <top style="thin"/>
      <bottom style="double">
        <color indexed="60"/>
      </bottom>
    </border>
    <border>
      <left>
        <color indexed="63"/>
      </left>
      <right style="thin"/>
      <top style="thin"/>
      <bottom style="double">
        <color indexed="60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dotted"/>
      <right style="dotted"/>
      <top style="double">
        <color indexed="60"/>
      </top>
      <bottom style="thin"/>
    </border>
    <border>
      <left style="dotted"/>
      <right style="thin"/>
      <top style="double">
        <color indexed="60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0" borderId="1" applyNumberFormat="0" applyAlignment="0" applyProtection="0"/>
    <xf numFmtId="0" fontId="1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9" fillId="3" borderId="0" applyNumberFormat="0" applyBorder="0" applyAlignment="0" applyProtection="0"/>
    <xf numFmtId="0" fontId="20" fillId="23" borderId="4" applyNumberFormat="0" applyAlignment="0" applyProtection="0"/>
    <xf numFmtId="0" fontId="1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24" fillId="23" borderId="9" applyNumberFormat="0" applyAlignment="0" applyProtection="0"/>
    <xf numFmtId="0" fontId="2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6" fillId="7" borderId="4" applyNumberFormat="0" applyAlignment="0" applyProtection="0"/>
    <xf numFmtId="0" fontId="29" fillId="0" borderId="0" applyNumberFormat="0" applyFill="0" applyBorder="0" applyAlignment="0" applyProtection="0"/>
    <xf numFmtId="0" fontId="9" fillId="4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3" fillId="21" borderId="13" xfId="0" applyAlignment="1">
      <alignment vertical="center"/>
    </xf>
    <xf numFmtId="176" fontId="3" fillId="21" borderId="14" xfId="0" applyAlignment="1">
      <alignment vertical="center"/>
    </xf>
    <xf numFmtId="0" fontId="3" fillId="0" borderId="0" xfId="0" applyAlignment="1">
      <alignment vertical="center"/>
    </xf>
    <xf numFmtId="0" fontId="3" fillId="21" borderId="15" xfId="0" applyAlignment="1">
      <alignment vertical="center"/>
    </xf>
    <xf numFmtId="176" fontId="3" fillId="21" borderId="13" xfId="0" applyAlignment="1">
      <alignment vertical="center"/>
    </xf>
    <xf numFmtId="9" fontId="3" fillId="0" borderId="16" xfId="0" applyAlignment="1">
      <alignment horizontal="center" vertical="center"/>
    </xf>
    <xf numFmtId="5" fontId="3" fillId="0" borderId="17" xfId="0" applyAlignment="1">
      <alignment horizontal="center" vertical="center"/>
    </xf>
    <xf numFmtId="6" fontId="3" fillId="21" borderId="13" xfId="0" applyAlignment="1">
      <alignment vertical="center"/>
    </xf>
    <xf numFmtId="6" fontId="3" fillId="0" borderId="18" xfId="0" applyAlignment="1">
      <alignment horizontal="center" vertical="center"/>
    </xf>
    <xf numFmtId="0" fontId="5" fillId="0" borderId="0" xfId="0" applyAlignment="1">
      <alignment vertical="center"/>
    </xf>
    <xf numFmtId="0" fontId="0" fillId="24" borderId="0" xfId="0" applyFill="1" applyAlignment="1">
      <alignment vertical="center"/>
    </xf>
    <xf numFmtId="0" fontId="3" fillId="24" borderId="0" xfId="0" applyAlignment="1">
      <alignment vertical="center"/>
    </xf>
    <xf numFmtId="5" fontId="3" fillId="24" borderId="0" xfId="0" applyAlignment="1">
      <alignment horizontal="center" vertical="center"/>
    </xf>
    <xf numFmtId="176" fontId="3" fillId="24" borderId="0" xfId="0" applyAlignment="1">
      <alignment vertical="center"/>
    </xf>
    <xf numFmtId="5" fontId="2" fillId="25" borderId="19" xfId="0" applyAlignment="1">
      <alignment horizontal="center"/>
    </xf>
    <xf numFmtId="6" fontId="3" fillId="24" borderId="0" xfId="0" applyAlignment="1">
      <alignment vertical="center"/>
    </xf>
    <xf numFmtId="6" fontId="3" fillId="24" borderId="0" xfId="0" applyAlignment="1">
      <alignment horizontal="center" vertical="center"/>
    </xf>
    <xf numFmtId="0" fontId="3" fillId="24" borderId="20" xfId="0" applyAlignment="1">
      <alignment vertical="center"/>
    </xf>
    <xf numFmtId="5" fontId="3" fillId="24" borderId="20" xfId="0" applyAlignment="1">
      <alignment horizontal="center" vertical="center"/>
    </xf>
    <xf numFmtId="5" fontId="6" fillId="24" borderId="20" xfId="0" applyAlignment="1">
      <alignment horizontal="center" vertical="center"/>
    </xf>
    <xf numFmtId="176" fontId="3" fillId="24" borderId="20" xfId="0" applyAlignment="1">
      <alignment vertical="center"/>
    </xf>
    <xf numFmtId="9" fontId="3" fillId="24" borderId="21" xfId="0" applyAlignment="1">
      <alignment horizontal="center" vertical="center"/>
    </xf>
    <xf numFmtId="6" fontId="3" fillId="24" borderId="20" xfId="0" applyAlignment="1">
      <alignment vertical="center"/>
    </xf>
    <xf numFmtId="6" fontId="3" fillId="24" borderId="20" xfId="0" applyAlignment="1">
      <alignment horizontal="center" vertical="center"/>
    </xf>
    <xf numFmtId="0" fontId="0" fillId="24" borderId="20" xfId="0" applyFill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2" xfId="0" applyAlignment="1">
      <alignment/>
    </xf>
    <xf numFmtId="5" fontId="2" fillId="25" borderId="22" xfId="0" applyAlignment="1">
      <alignment horizontal="center"/>
    </xf>
    <xf numFmtId="5" fontId="3" fillId="0" borderId="22" xfId="0" applyAlignment="1">
      <alignment horizontal="center" vertical="center"/>
    </xf>
    <xf numFmtId="5" fontId="2" fillId="25" borderId="23" xfId="0" applyAlignment="1">
      <alignment horizontal="center"/>
    </xf>
    <xf numFmtId="5" fontId="3" fillId="0" borderId="0" xfId="0" applyAlignment="1">
      <alignment horizontal="center" vertical="center"/>
    </xf>
    <xf numFmtId="0" fontId="0" fillId="0" borderId="22" xfId="0" applyBorder="1" applyAlignment="1">
      <alignment vertical="center"/>
    </xf>
    <xf numFmtId="0" fontId="6" fillId="21" borderId="24" xfId="0" applyAlignment="1">
      <alignment horizontal="center" vertical="center"/>
    </xf>
    <xf numFmtId="0" fontId="3" fillId="21" borderId="25" xfId="0" applyAlignment="1">
      <alignment horizontal="center" vertical="center"/>
    </xf>
    <xf numFmtId="0" fontId="3" fillId="21" borderId="26" xfId="0" applyAlignment="1">
      <alignment horizontal="center" vertical="center" wrapText="1"/>
    </xf>
    <xf numFmtId="0" fontId="3" fillId="21" borderId="27" xfId="0" applyAlignment="1">
      <alignment horizontal="center" vertical="center"/>
    </xf>
    <xf numFmtId="176" fontId="3" fillId="21" borderId="26" xfId="0" applyAlignment="1">
      <alignment horizontal="center" vertical="center" wrapText="1"/>
    </xf>
    <xf numFmtId="178" fontId="3" fillId="21" borderId="26" xfId="0" applyAlignment="1">
      <alignment horizontal="center" vertical="center"/>
    </xf>
    <xf numFmtId="179" fontId="3" fillId="21" borderId="28" xfId="0" applyAlignment="1">
      <alignment horizontal="center" vertical="center"/>
    </xf>
    <xf numFmtId="0" fontId="3" fillId="21" borderId="29" xfId="0" applyAlignment="1">
      <alignment horizontal="center" vertical="center" wrapText="1"/>
    </xf>
    <xf numFmtId="55" fontId="2" fillId="0" borderId="30" xfId="0" applyAlignment="1">
      <alignment horizontal="center" vertical="center"/>
    </xf>
    <xf numFmtId="179" fontId="2" fillId="0" borderId="31" xfId="0" applyAlignment="1">
      <alignment horizontal="right" vertical="center"/>
    </xf>
    <xf numFmtId="179" fontId="2" fillId="0" borderId="32" xfId="0" applyAlignment="1">
      <alignment horizontal="right" vertical="center"/>
    </xf>
    <xf numFmtId="6" fontId="2" fillId="0" borderId="32" xfId="0" applyAlignment="1">
      <alignment horizontal="right" vertical="center"/>
    </xf>
    <xf numFmtId="180" fontId="2" fillId="0" borderId="32" xfId="0" applyAlignment="1">
      <alignment horizontal="right" vertical="center"/>
    </xf>
    <xf numFmtId="181" fontId="2" fillId="0" borderId="32" xfId="0" applyAlignment="1">
      <alignment horizontal="right" vertical="center"/>
    </xf>
    <xf numFmtId="182" fontId="2" fillId="0" borderId="32" xfId="0" applyAlignment="1">
      <alignment vertical="center"/>
    </xf>
    <xf numFmtId="179" fontId="2" fillId="0" borderId="32" xfId="0" applyAlignment="1">
      <alignment vertical="center"/>
    </xf>
    <xf numFmtId="183" fontId="2" fillId="0" borderId="32" xfId="0" applyAlignment="1">
      <alignment vertical="center"/>
    </xf>
    <xf numFmtId="183" fontId="2" fillId="0" borderId="33" xfId="0" applyAlignment="1">
      <alignment vertical="center"/>
    </xf>
    <xf numFmtId="55" fontId="0" fillId="0" borderId="30" xfId="0" applyNumberFormat="1" applyBorder="1" applyAlignment="1">
      <alignment horizontal="center" vertical="center"/>
    </xf>
    <xf numFmtId="179" fontId="0" fillId="0" borderId="31" xfId="0" applyNumberFormat="1" applyBorder="1" applyAlignment="1">
      <alignment vertical="center"/>
    </xf>
    <xf numFmtId="179" fontId="0" fillId="0" borderId="32" xfId="0" applyNumberFormat="1" applyBorder="1" applyAlignment="1">
      <alignment vertical="center"/>
    </xf>
    <xf numFmtId="0" fontId="0" fillId="0" borderId="32" xfId="0" applyBorder="1" applyAlignment="1">
      <alignment vertical="center"/>
    </xf>
    <xf numFmtId="55" fontId="2" fillId="0" borderId="34" xfId="0" applyAlignment="1">
      <alignment horizontal="center" vertical="center"/>
    </xf>
    <xf numFmtId="179" fontId="0" fillId="0" borderId="35" xfId="0" applyNumberFormat="1" applyBorder="1" applyAlignment="1">
      <alignment vertical="center"/>
    </xf>
    <xf numFmtId="179" fontId="0" fillId="0" borderId="36" xfId="0" applyNumberFormat="1" applyBorder="1" applyAlignment="1">
      <alignment vertical="center"/>
    </xf>
    <xf numFmtId="6" fontId="2" fillId="0" borderId="36" xfId="0" applyAlignment="1">
      <alignment horizontal="right" vertical="center"/>
    </xf>
    <xf numFmtId="0" fontId="0" fillId="0" borderId="36" xfId="0" applyBorder="1" applyAlignment="1">
      <alignment vertical="center"/>
    </xf>
    <xf numFmtId="180" fontId="2" fillId="0" borderId="36" xfId="0" applyAlignment="1">
      <alignment horizontal="right" vertical="center"/>
    </xf>
    <xf numFmtId="182" fontId="2" fillId="0" borderId="36" xfId="0" applyAlignment="1">
      <alignment vertical="center"/>
    </xf>
    <xf numFmtId="179" fontId="2" fillId="0" borderId="36" xfId="0" applyAlignment="1">
      <alignment vertical="center"/>
    </xf>
    <xf numFmtId="183" fontId="2" fillId="0" borderId="36" xfId="0" applyAlignment="1">
      <alignment vertical="center"/>
    </xf>
    <xf numFmtId="183" fontId="2" fillId="0" borderId="37" xfId="0" applyAlignment="1">
      <alignment vertical="center"/>
    </xf>
    <xf numFmtId="55" fontId="0" fillId="0" borderId="38" xfId="0" applyNumberFormat="1" applyBorder="1" applyAlignment="1">
      <alignment horizontal="center" vertical="center"/>
    </xf>
    <xf numFmtId="5" fontId="5" fillId="0" borderId="39" xfId="0" applyNumberFormat="1" applyBorder="1" applyAlignment="1">
      <alignment vertical="center"/>
    </xf>
    <xf numFmtId="179" fontId="5" fillId="0" borderId="40" xfId="0" applyNumberFormat="1" applyBorder="1" applyAlignment="1">
      <alignment vertical="center"/>
    </xf>
    <xf numFmtId="6" fontId="5" fillId="0" borderId="40" xfId="0" applyNumberFormat="1" applyBorder="1" applyAlignment="1">
      <alignment vertical="center"/>
    </xf>
    <xf numFmtId="181" fontId="5" fillId="0" borderId="40" xfId="0" applyNumberFormat="1" applyBorder="1" applyAlignment="1">
      <alignment vertical="center"/>
    </xf>
    <xf numFmtId="180" fontId="5" fillId="0" borderId="40" xfId="0" applyNumberFormat="1" applyBorder="1" applyAlignment="1">
      <alignment vertical="center"/>
    </xf>
    <xf numFmtId="182" fontId="7" fillId="0" borderId="40" xfId="0" applyNumberFormat="1" applyFont="1" applyBorder="1" applyAlignment="1">
      <alignment vertical="center"/>
    </xf>
    <xf numFmtId="183" fontId="5" fillId="0" borderId="41" xfId="0" applyNumberFormat="1" applyBorder="1" applyAlignment="1">
      <alignment vertical="center"/>
    </xf>
    <xf numFmtId="183" fontId="5" fillId="0" borderId="4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43" xfId="0" applyBorder="1" applyAlignment="1">
      <alignment vertical="center"/>
    </xf>
    <xf numFmtId="0" fontId="1" fillId="0" borderId="33" xfId="0" applyFont="1" applyBorder="1" applyAlignment="1">
      <alignment vertical="center"/>
    </xf>
    <xf numFmtId="5" fontId="0" fillId="0" borderId="0" xfId="0" applyNumberFormat="1" applyAlignment="1">
      <alignment vertical="center"/>
    </xf>
    <xf numFmtId="0" fontId="8" fillId="0" borderId="0" xfId="0" applyFont="1" applyAlignment="1">
      <alignment vertical="center"/>
    </xf>
    <xf numFmtId="184" fontId="0" fillId="0" borderId="0" xfId="0" applyNumberFormat="1" applyAlignment="1">
      <alignment vertical="center"/>
    </xf>
    <xf numFmtId="186" fontId="0" fillId="0" borderId="0" xfId="0" applyNumberFormat="1" applyAlignment="1">
      <alignment vertical="center"/>
    </xf>
    <xf numFmtId="187" fontId="0" fillId="0" borderId="0" xfId="0" applyNumberFormat="1" applyAlignment="1">
      <alignment vertical="center"/>
    </xf>
    <xf numFmtId="188" fontId="0" fillId="0" borderId="0" xfId="0" applyNumberFormat="1" applyAlignment="1">
      <alignment vertical="center"/>
    </xf>
    <xf numFmtId="0" fontId="9" fillId="4" borderId="44" xfId="0" applyAlignment="1">
      <alignment horizontal="center" vertical="center"/>
    </xf>
    <xf numFmtId="5" fontId="9" fillId="4" borderId="44" xfId="0" applyAlignment="1">
      <alignment horizontal="center" vertical="center"/>
    </xf>
    <xf numFmtId="0" fontId="9" fillId="8" borderId="44" xfId="0" applyAlignment="1">
      <alignment horizontal="center" vertical="center"/>
    </xf>
    <xf numFmtId="0" fontId="10" fillId="8" borderId="44" xfId="0" applyAlignment="1">
      <alignment horizontal="center" vertical="center"/>
    </xf>
    <xf numFmtId="0" fontId="9" fillId="9" borderId="44" xfId="0" applyAlignment="1">
      <alignment horizontal="center" vertical="center"/>
    </xf>
    <xf numFmtId="0" fontId="10" fillId="9" borderId="44" xfId="0" applyAlignment="1">
      <alignment horizontal="center" vertical="center"/>
    </xf>
    <xf numFmtId="184" fontId="9" fillId="4" borderId="44" xfId="0" applyAlignment="1">
      <alignment horizontal="center" vertical="center"/>
    </xf>
    <xf numFmtId="0" fontId="10" fillId="22" borderId="44" xfId="0" applyAlignment="1">
      <alignment vertical="center"/>
    </xf>
    <xf numFmtId="0" fontId="9" fillId="22" borderId="44" xfId="0" applyAlignment="1">
      <alignment horizontal="center" vertical="center"/>
    </xf>
    <xf numFmtId="186" fontId="9" fillId="22" borderId="44" xfId="0" applyAlignment="1">
      <alignment horizontal="center" vertical="center"/>
    </xf>
    <xf numFmtId="187" fontId="9" fillId="4" borderId="44" xfId="0" applyAlignment="1">
      <alignment horizontal="center" vertical="center"/>
    </xf>
    <xf numFmtId="188" fontId="9" fillId="4" borderId="44" xfId="0" applyAlignment="1">
      <alignment horizontal="center" vertical="center"/>
    </xf>
    <xf numFmtId="0" fontId="11" fillId="0" borderId="0" xfId="0" applyAlignment="1">
      <alignment horizontal="center" vertical="center"/>
    </xf>
    <xf numFmtId="189" fontId="0" fillId="0" borderId="0" xfId="0" applyNumberFormat="1" applyAlignment="1">
      <alignment vertical="center"/>
    </xf>
    <xf numFmtId="190" fontId="0" fillId="0" borderId="0" xfId="0" applyNumberFormat="1" applyAlignment="1">
      <alignment vertical="top" wrapText="1"/>
    </xf>
    <xf numFmtId="0" fontId="12" fillId="0" borderId="0" xfId="0" applyAlignment="1">
      <alignment horizontal="center" vertical="center"/>
    </xf>
    <xf numFmtId="0" fontId="8" fillId="0" borderId="0" xfId="0" applyFont="1" applyAlignment="1">
      <alignment vertical="top" wrapText="1"/>
    </xf>
    <xf numFmtId="184" fontId="8" fillId="0" borderId="0" xfId="0" applyNumberFormat="1" applyFont="1" applyAlignment="1">
      <alignment vertical="center"/>
    </xf>
    <xf numFmtId="0" fontId="13" fillId="16" borderId="45" xfId="0" applyFill="1" applyBorder="1" applyAlignment="1">
      <alignment horizontal="center" vertical="center"/>
    </xf>
    <xf numFmtId="0" fontId="13" fillId="16" borderId="17" xfId="0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8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8" fillId="0" borderId="44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vertical="center"/>
    </xf>
    <xf numFmtId="181" fontId="0" fillId="0" borderId="49" xfId="0" applyNumberFormat="1" applyBorder="1" applyAlignment="1">
      <alignment vertical="center"/>
    </xf>
    <xf numFmtId="181" fontId="0" fillId="0" borderId="46" xfId="0" applyNumberFormat="1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vertical="center"/>
    </xf>
    <xf numFmtId="182" fontId="0" fillId="0" borderId="49" xfId="0" applyNumberFormat="1" applyBorder="1" applyAlignment="1">
      <alignment vertical="center"/>
    </xf>
    <xf numFmtId="0" fontId="8" fillId="0" borderId="23" xfId="0" applyFont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vertical="center"/>
    </xf>
    <xf numFmtId="0" fontId="8" fillId="0" borderId="55" xfId="0" applyFont="1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3" fillId="16" borderId="56" xfId="0" applyFill="1" applyBorder="1" applyAlignment="1">
      <alignment horizontal="center" vertical="center"/>
    </xf>
    <xf numFmtId="0" fontId="14" fillId="16" borderId="55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8" fillId="0" borderId="61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8" fillId="0" borderId="6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8" fillId="0" borderId="44" xfId="0" applyFont="1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64" xfId="0" applyFont="1" applyBorder="1" applyAlignment="1">
      <alignment vertical="center"/>
    </xf>
    <xf numFmtId="183" fontId="8" fillId="0" borderId="0" xfId="0" applyNumberFormat="1" applyFont="1" applyAlignment="1">
      <alignment vertical="center"/>
    </xf>
    <xf numFmtId="0" fontId="5" fillId="0" borderId="65" xfId="0" applyAlignment="1">
      <alignment vertical="center"/>
    </xf>
    <xf numFmtId="0" fontId="5" fillId="0" borderId="66" xfId="0" applyAlignment="1">
      <alignment vertical="center"/>
    </xf>
    <xf numFmtId="0" fontId="5" fillId="0" borderId="67" xfId="0" applyAlignment="1">
      <alignment vertical="center"/>
    </xf>
    <xf numFmtId="0" fontId="5" fillId="0" borderId="68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93" fontId="0" fillId="0" borderId="0" xfId="0" applyNumberFormat="1" applyAlignment="1">
      <alignment vertical="center"/>
    </xf>
    <xf numFmtId="0" fontId="30" fillId="0" borderId="0" xfId="0" applyFont="1" applyAlignment="1">
      <alignment horizontal="right" vertical="center"/>
    </xf>
    <xf numFmtId="195" fontId="32" fillId="6" borderId="44" xfId="0" applyNumberFormat="1" applyFont="1" applyFill="1" applyBorder="1" applyAlignment="1">
      <alignment horizontal="center" vertical="center"/>
    </xf>
    <xf numFmtId="196" fontId="27" fillId="26" borderId="44" xfId="0" applyNumberFormat="1" applyFont="1" applyFill="1" applyBorder="1" applyAlignment="1">
      <alignment horizontal="center" vertical="center"/>
    </xf>
    <xf numFmtId="0" fontId="32" fillId="3" borderId="44" xfId="0" applyFont="1" applyFill="1" applyBorder="1" applyAlignment="1">
      <alignment horizontal="center" vertical="center"/>
    </xf>
    <xf numFmtId="197" fontId="33" fillId="0" borderId="44" xfId="0" applyNumberFormat="1" applyFont="1" applyBorder="1" applyAlignment="1">
      <alignment horizontal="center" vertical="center"/>
    </xf>
    <xf numFmtId="0" fontId="8" fillId="4" borderId="44" xfId="0" applyFont="1" applyFill="1" applyBorder="1" applyAlignment="1">
      <alignment vertical="center"/>
    </xf>
    <xf numFmtId="0" fontId="0" fillId="26" borderId="44" xfId="0" applyFill="1" applyBorder="1" applyAlignment="1">
      <alignment vertical="center"/>
    </xf>
    <xf numFmtId="0" fontId="0" fillId="6" borderId="44" xfId="0" applyFill="1" applyBorder="1" applyAlignment="1">
      <alignment vertical="center"/>
    </xf>
    <xf numFmtId="0" fontId="32" fillId="6" borderId="44" xfId="0" applyFont="1" applyFill="1" applyBorder="1" applyAlignment="1">
      <alignment horizontal="center" vertical="center"/>
    </xf>
    <xf numFmtId="9" fontId="27" fillId="26" borderId="44" xfId="0" applyNumberFormat="1" applyFont="1" applyFill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27" fillId="26" borderId="44" xfId="0" applyFont="1" applyFill="1" applyBorder="1" applyAlignment="1">
      <alignment horizontal="center" vertical="center"/>
    </xf>
    <xf numFmtId="198" fontId="27" fillId="26" borderId="44" xfId="0" applyNumberFormat="1" applyFont="1" applyFill="1" applyBorder="1" applyAlignment="1">
      <alignment horizontal="center" vertical="center"/>
    </xf>
    <xf numFmtId="199" fontId="34" fillId="0" borderId="44" xfId="0" applyNumberFormat="1" applyFont="1" applyBorder="1" applyAlignment="1">
      <alignment horizontal="center" vertical="center"/>
    </xf>
    <xf numFmtId="198" fontId="32" fillId="6" borderId="44" xfId="0" applyNumberFormat="1" applyFont="1" applyFill="1" applyBorder="1" applyAlignment="1">
      <alignment horizontal="center" vertical="center"/>
    </xf>
    <xf numFmtId="200" fontId="34" fillId="0" borderId="44" xfId="0" applyNumberFormat="1" applyFont="1" applyBorder="1" applyAlignment="1">
      <alignment horizontal="center" vertical="center"/>
    </xf>
    <xf numFmtId="200" fontId="33" fillId="0" borderId="44" xfId="0" applyNumberFormat="1" applyFont="1" applyBorder="1" applyAlignment="1">
      <alignment horizontal="center" vertical="center"/>
    </xf>
    <xf numFmtId="192" fontId="35" fillId="0" borderId="0" xfId="0" applyNumberFormat="1" applyFont="1" applyAlignment="1">
      <alignment horizontal="right" vertical="center"/>
    </xf>
    <xf numFmtId="183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201" fontId="0" fillId="0" borderId="0" xfId="0" applyNumberFormat="1" applyAlignment="1">
      <alignment vertical="center"/>
    </xf>
    <xf numFmtId="185" fontId="8" fillId="0" borderId="0" xfId="0" applyNumberFormat="1" applyFont="1" applyAlignment="1">
      <alignment vertical="center"/>
    </xf>
    <xf numFmtId="185" fontId="10" fillId="4" borderId="44" xfId="0" applyFont="1" applyAlignment="1">
      <alignment horizontal="center" vertical="center"/>
    </xf>
    <xf numFmtId="181" fontId="8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vertical="center"/>
    </xf>
    <xf numFmtId="5" fontId="3" fillId="0" borderId="69" xfId="0" applyAlignment="1">
      <alignment horizontal="center" vertical="center"/>
    </xf>
    <xf numFmtId="5" fontId="3" fillId="0" borderId="70" xfId="0" applyAlignment="1">
      <alignment horizontal="center" vertical="center"/>
    </xf>
    <xf numFmtId="5" fontId="2" fillId="25" borderId="30" xfId="0" applyAlignment="1">
      <alignment horizontal="center"/>
    </xf>
    <xf numFmtId="5" fontId="2" fillId="25" borderId="21" xfId="0" applyAlignment="1">
      <alignment horizontal="center"/>
    </xf>
    <xf numFmtId="5" fontId="2" fillId="25" borderId="33" xfId="0" applyAlignment="1">
      <alignment horizontal="center"/>
    </xf>
    <xf numFmtId="5" fontId="2" fillId="25" borderId="11" xfId="0" applyAlignment="1">
      <alignment horizontal="center"/>
    </xf>
    <xf numFmtId="5" fontId="2" fillId="25" borderId="69" xfId="0" applyAlignment="1">
      <alignment horizontal="center"/>
    </xf>
    <xf numFmtId="5" fontId="4" fillId="0" borderId="23" xfId="0" applyAlignment="1">
      <alignment horizontal="center" vertical="center"/>
    </xf>
    <xf numFmtId="177" fontId="3" fillId="0" borderId="56" xfId="0" applyAlignment="1">
      <alignment horizontal="center" vertical="center"/>
    </xf>
    <xf numFmtId="177" fontId="3" fillId="0" borderId="18" xfId="0" applyAlignment="1">
      <alignment horizontal="center" vertical="center"/>
    </xf>
    <xf numFmtId="0" fontId="13" fillId="16" borderId="45" xfId="0" applyFill="1" applyBorder="1" applyAlignment="1">
      <alignment horizontal="center" vertical="center"/>
    </xf>
    <xf numFmtId="0" fontId="13" fillId="16" borderId="14" xfId="0" applyFill="1" applyBorder="1" applyAlignment="1">
      <alignment horizontal="center" vertical="center"/>
    </xf>
    <xf numFmtId="0" fontId="13" fillId="16" borderId="13" xfId="0" applyFill="1" applyBorder="1" applyAlignment="1">
      <alignment horizontal="center" vertical="center"/>
    </xf>
    <xf numFmtId="0" fontId="13" fillId="16" borderId="71" xfId="0" applyFill="1" applyBorder="1" applyAlignment="1">
      <alignment horizontal="center" vertical="center"/>
    </xf>
    <xf numFmtId="0" fontId="31" fillId="27" borderId="72" xfId="0" applyFont="1" applyFill="1" applyBorder="1" applyAlignment="1">
      <alignment horizontal="center" vertical="center"/>
    </xf>
    <xf numFmtId="0" fontId="31" fillId="27" borderId="73" xfId="0" applyFont="1" applyFill="1" applyBorder="1" applyAlignment="1">
      <alignment horizontal="center" vertical="center"/>
    </xf>
    <xf numFmtId="0" fontId="0" fillId="0" borderId="7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b val="0"/>
        <i val="0"/>
        <strike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Relationship Id="rId5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16</xdr:col>
      <xdr:colOff>342900</xdr:colOff>
      <xdr:row>26</xdr:row>
      <xdr:rowOff>104775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71450"/>
          <a:ext cx="10629900" cy="439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28</xdr:row>
      <xdr:rowOff>152400</xdr:rowOff>
    </xdr:from>
    <xdr:to>
      <xdr:col>16</xdr:col>
      <xdr:colOff>390525</xdr:colOff>
      <xdr:row>54</xdr:row>
      <xdr:rowOff>133350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4850" y="4953000"/>
          <a:ext cx="10658475" cy="443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</xdr:row>
      <xdr:rowOff>0</xdr:rowOff>
    </xdr:from>
    <xdr:to>
      <xdr:col>16</xdr:col>
      <xdr:colOff>342900</xdr:colOff>
      <xdr:row>82</xdr:row>
      <xdr:rowOff>123825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85800" y="9772650"/>
          <a:ext cx="10629900" cy="441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85</xdr:row>
      <xdr:rowOff>0</xdr:rowOff>
    </xdr:from>
    <xdr:to>
      <xdr:col>16</xdr:col>
      <xdr:colOff>409575</xdr:colOff>
      <xdr:row>110</xdr:row>
      <xdr:rowOff>161925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85800" y="14573250"/>
          <a:ext cx="10696575" cy="444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114</xdr:row>
      <xdr:rowOff>57150</xdr:rowOff>
    </xdr:from>
    <xdr:to>
      <xdr:col>16</xdr:col>
      <xdr:colOff>419100</xdr:colOff>
      <xdr:row>140</xdr:row>
      <xdr:rowOff>19050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04850" y="19602450"/>
          <a:ext cx="10687050" cy="441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zoomScaleSheetLayoutView="100" workbookViewId="0" topLeftCell="A1">
      <selection activeCell="A14" sqref="A14"/>
    </sheetView>
  </sheetViews>
  <sheetFormatPr defaultColWidth="9.00390625" defaultRowHeight="13.5" customHeight="1"/>
  <cols>
    <col min="1" max="1" width="22.75390625" style="0" customWidth="1"/>
    <col min="2" max="2" width="13.625" style="0" customWidth="1"/>
    <col min="3" max="3" width="13.875" style="0" customWidth="1"/>
    <col min="4" max="4" width="15.625" style="0" customWidth="1"/>
    <col min="5" max="5" width="12.375" style="0" customWidth="1"/>
    <col min="6" max="6" width="12.25390625" style="0" customWidth="1"/>
    <col min="7" max="7" width="13.25390625" style="0" customWidth="1"/>
    <col min="8" max="8" width="10.00390625" style="0" customWidth="1"/>
    <col min="9" max="9" width="15.75390625" style="0" customWidth="1"/>
    <col min="10" max="10" width="13.125" style="0" customWidth="1"/>
    <col min="11" max="11" width="15.50390625" style="0" customWidth="1"/>
    <col min="12" max="12" width="17.625" style="0" customWidth="1"/>
    <col min="13" max="16384" width="10.00390625" style="0" customWidth="1"/>
  </cols>
  <sheetData>
    <row r="1" spans="1:8" ht="19.5" customHeight="1">
      <c r="A1" s="2"/>
      <c r="B1" s="173" t="s">
        <v>0</v>
      </c>
      <c r="C1" s="174"/>
      <c r="D1" s="175"/>
      <c r="E1" s="3"/>
      <c r="F1" s="176" t="s">
        <v>1</v>
      </c>
      <c r="G1" s="177"/>
      <c r="H1" s="4"/>
    </row>
    <row r="2" spans="1:9" ht="25.5" customHeight="1">
      <c r="A2" s="5" t="s">
        <v>2</v>
      </c>
      <c r="B2" s="178">
        <v>3000000</v>
      </c>
      <c r="C2" s="178"/>
      <c r="D2" s="178"/>
      <c r="E2" s="6" t="s">
        <v>3</v>
      </c>
      <c r="F2" s="179">
        <v>41609</v>
      </c>
      <c r="G2" s="180"/>
      <c r="H2" s="7"/>
      <c r="I2" s="7"/>
    </row>
    <row r="3" spans="1:11" ht="27" customHeight="1">
      <c r="A3" s="8" t="s">
        <v>4</v>
      </c>
      <c r="B3" s="171">
        <f>SUM(B2+D17)</f>
        <v>3020000</v>
      </c>
      <c r="C3" s="171"/>
      <c r="D3" s="172"/>
      <c r="E3" s="9" t="s">
        <v>5</v>
      </c>
      <c r="F3" s="10">
        <v>0.02</v>
      </c>
      <c r="G3" s="11">
        <f>B3*F3</f>
        <v>60400</v>
      </c>
      <c r="H3" s="12" t="s">
        <v>6</v>
      </c>
      <c r="I3" s="13">
        <f>(B3-B2)</f>
        <v>20000</v>
      </c>
      <c r="K3" s="14"/>
    </row>
    <row r="4" spans="1:9" s="15" customFormat="1" ht="17.25" customHeight="1">
      <c r="A4" s="16"/>
      <c r="B4" s="17"/>
      <c r="C4" s="17"/>
      <c r="D4" s="17"/>
      <c r="E4" s="18"/>
      <c r="F4" s="19" t="s">
        <v>7</v>
      </c>
      <c r="G4" s="17"/>
      <c r="H4" s="20"/>
      <c r="I4" s="21"/>
    </row>
    <row r="5" spans="1:12" ht="39" customHeight="1">
      <c r="A5" s="22"/>
      <c r="B5" s="23"/>
      <c r="C5" s="23"/>
      <c r="D5" s="24"/>
      <c r="E5" s="25"/>
      <c r="F5" s="26"/>
      <c r="G5" s="23"/>
      <c r="H5" s="27"/>
      <c r="I5" s="28"/>
      <c r="J5" s="29"/>
      <c r="K5" s="30"/>
      <c r="L5" s="30"/>
    </row>
    <row r="6" spans="1:12" ht="21" customHeight="1">
      <c r="A6" s="31" t="s">
        <v>8</v>
      </c>
      <c r="B6" s="32" t="s">
        <v>9</v>
      </c>
      <c r="C6" s="32" t="s">
        <v>9</v>
      </c>
      <c r="D6" s="33"/>
      <c r="E6" s="32" t="s">
        <v>9</v>
      </c>
      <c r="F6" s="34" t="s">
        <v>10</v>
      </c>
      <c r="G6" s="35"/>
      <c r="H6" s="7"/>
      <c r="I6" s="7"/>
      <c r="L6" s="36"/>
    </row>
    <row r="7" spans="1:12" ht="28.5" customHeight="1">
      <c r="A7" s="37" t="s">
        <v>11</v>
      </c>
      <c r="B7" s="38" t="s">
        <v>12</v>
      </c>
      <c r="C7" s="39" t="s">
        <v>13</v>
      </c>
      <c r="D7" s="40" t="s">
        <v>14</v>
      </c>
      <c r="E7" s="41" t="s">
        <v>15</v>
      </c>
      <c r="F7" s="39" t="s">
        <v>16</v>
      </c>
      <c r="G7" s="41" t="s">
        <v>17</v>
      </c>
      <c r="H7" s="40" t="s">
        <v>18</v>
      </c>
      <c r="I7" s="42" t="s">
        <v>19</v>
      </c>
      <c r="J7" s="43" t="s">
        <v>20</v>
      </c>
      <c r="K7" s="39" t="s">
        <v>21</v>
      </c>
      <c r="L7" s="44" t="s">
        <v>22</v>
      </c>
    </row>
    <row r="8" spans="1:12" ht="24.75" customHeight="1">
      <c r="A8" s="45">
        <v>42095</v>
      </c>
      <c r="B8" s="46">
        <v>20000</v>
      </c>
      <c r="C8" s="47"/>
      <c r="D8" s="48">
        <f aca="true" t="shared" si="0" ref="D8:D16">SUM(B8-C8)</f>
        <v>20000</v>
      </c>
      <c r="E8" s="49"/>
      <c r="F8" s="50"/>
      <c r="G8" s="49">
        <f aca="true" t="shared" si="1" ref="G8:G16">SUM(E8+F8)</f>
        <v>0</v>
      </c>
      <c r="H8" s="51" t="e">
        <f aca="true" t="shared" si="2" ref="H8:H16">E8/G8</f>
        <v>#DIV/0!</v>
      </c>
      <c r="I8" s="52" t="e">
        <f aca="true" t="shared" si="3" ref="I8:I16">B8/E8</f>
        <v>#DIV/0!</v>
      </c>
      <c r="J8" s="52" t="e">
        <f aca="true" t="shared" si="4" ref="J8:J16">C8/F8</f>
        <v>#DIV/0!</v>
      </c>
      <c r="K8" s="53" t="e">
        <f aca="true" t="shared" si="5" ref="K8:K16">I8/J8</f>
        <v>#DIV/0!</v>
      </c>
      <c r="L8" s="54" t="e">
        <f aca="true" t="shared" si="6" ref="L8:L16">B8/C8</f>
        <v>#DIV/0!</v>
      </c>
    </row>
    <row r="9" spans="1:12" ht="24.75" customHeight="1">
      <c r="A9" s="55">
        <v>42125</v>
      </c>
      <c r="B9" s="56"/>
      <c r="C9" s="57"/>
      <c r="D9" s="48">
        <f t="shared" si="0"/>
        <v>0</v>
      </c>
      <c r="E9" s="58"/>
      <c r="F9" s="58"/>
      <c r="G9" s="49">
        <f t="shared" si="1"/>
        <v>0</v>
      </c>
      <c r="H9" s="51" t="e">
        <f t="shared" si="2"/>
        <v>#DIV/0!</v>
      </c>
      <c r="I9" s="52" t="e">
        <f t="shared" si="3"/>
        <v>#DIV/0!</v>
      </c>
      <c r="J9" s="52" t="e">
        <f t="shared" si="4"/>
        <v>#DIV/0!</v>
      </c>
      <c r="K9" s="53" t="e">
        <f t="shared" si="5"/>
        <v>#DIV/0!</v>
      </c>
      <c r="L9" s="54" t="e">
        <f t="shared" si="6"/>
        <v>#DIV/0!</v>
      </c>
    </row>
    <row r="10" spans="1:12" ht="24.75" customHeight="1">
      <c r="A10" s="45">
        <v>42156</v>
      </c>
      <c r="B10" s="56"/>
      <c r="C10" s="57"/>
      <c r="D10" s="48">
        <f t="shared" si="0"/>
        <v>0</v>
      </c>
      <c r="E10" s="58"/>
      <c r="F10" s="58"/>
      <c r="G10" s="49">
        <f t="shared" si="1"/>
        <v>0</v>
      </c>
      <c r="H10" s="51" t="e">
        <f t="shared" si="2"/>
        <v>#DIV/0!</v>
      </c>
      <c r="I10" s="52" t="e">
        <f t="shared" si="3"/>
        <v>#DIV/0!</v>
      </c>
      <c r="J10" s="52" t="e">
        <f t="shared" si="4"/>
        <v>#DIV/0!</v>
      </c>
      <c r="K10" s="53" t="e">
        <f t="shared" si="5"/>
        <v>#DIV/0!</v>
      </c>
      <c r="L10" s="54" t="e">
        <f t="shared" si="6"/>
        <v>#DIV/0!</v>
      </c>
    </row>
    <row r="11" spans="1:12" ht="24.75" customHeight="1">
      <c r="A11" s="55">
        <v>42186</v>
      </c>
      <c r="B11" s="56"/>
      <c r="C11" s="57"/>
      <c r="D11" s="48">
        <f t="shared" si="0"/>
        <v>0</v>
      </c>
      <c r="E11" s="58"/>
      <c r="F11" s="58"/>
      <c r="G11" s="49">
        <f t="shared" si="1"/>
        <v>0</v>
      </c>
      <c r="H11" s="51" t="e">
        <f t="shared" si="2"/>
        <v>#DIV/0!</v>
      </c>
      <c r="I11" s="52" t="e">
        <f t="shared" si="3"/>
        <v>#DIV/0!</v>
      </c>
      <c r="J11" s="52" t="e">
        <f t="shared" si="4"/>
        <v>#DIV/0!</v>
      </c>
      <c r="K11" s="53" t="e">
        <f t="shared" si="5"/>
        <v>#DIV/0!</v>
      </c>
      <c r="L11" s="54" t="e">
        <f t="shared" si="6"/>
        <v>#DIV/0!</v>
      </c>
    </row>
    <row r="12" spans="1:12" ht="24.75" customHeight="1">
      <c r="A12" s="45">
        <v>42217</v>
      </c>
      <c r="B12" s="56"/>
      <c r="C12" s="47"/>
      <c r="D12" s="48">
        <f t="shared" si="0"/>
        <v>0</v>
      </c>
      <c r="E12" s="58"/>
      <c r="F12" s="58"/>
      <c r="G12" s="49">
        <f t="shared" si="1"/>
        <v>0</v>
      </c>
      <c r="H12" s="51" t="e">
        <f t="shared" si="2"/>
        <v>#DIV/0!</v>
      </c>
      <c r="I12" s="52" t="e">
        <f t="shared" si="3"/>
        <v>#DIV/0!</v>
      </c>
      <c r="J12" s="52" t="e">
        <f t="shared" si="4"/>
        <v>#DIV/0!</v>
      </c>
      <c r="K12" s="53" t="e">
        <f t="shared" si="5"/>
        <v>#DIV/0!</v>
      </c>
      <c r="L12" s="54" t="e">
        <f t="shared" si="6"/>
        <v>#DIV/0!</v>
      </c>
    </row>
    <row r="13" spans="1:12" ht="24.75" customHeight="1">
      <c r="A13" s="55">
        <v>42248</v>
      </c>
      <c r="B13" s="56"/>
      <c r="C13" s="57"/>
      <c r="D13" s="48">
        <f t="shared" si="0"/>
        <v>0</v>
      </c>
      <c r="E13" s="58"/>
      <c r="F13" s="58"/>
      <c r="G13" s="49">
        <f t="shared" si="1"/>
        <v>0</v>
      </c>
      <c r="H13" s="51" t="e">
        <f t="shared" si="2"/>
        <v>#DIV/0!</v>
      </c>
      <c r="I13" s="52" t="e">
        <f t="shared" si="3"/>
        <v>#DIV/0!</v>
      </c>
      <c r="J13" s="52" t="e">
        <f t="shared" si="4"/>
        <v>#DIV/0!</v>
      </c>
      <c r="K13" s="53" t="e">
        <f t="shared" si="5"/>
        <v>#DIV/0!</v>
      </c>
      <c r="L13" s="54" t="e">
        <f t="shared" si="6"/>
        <v>#DIV/0!</v>
      </c>
    </row>
    <row r="14" spans="1:12" ht="24.75" customHeight="1">
      <c r="A14" s="45">
        <v>42278</v>
      </c>
      <c r="B14" s="56"/>
      <c r="C14" s="47"/>
      <c r="D14" s="48">
        <f t="shared" si="0"/>
        <v>0</v>
      </c>
      <c r="E14" s="58"/>
      <c r="F14" s="58"/>
      <c r="G14" s="49">
        <f t="shared" si="1"/>
        <v>0</v>
      </c>
      <c r="H14" s="51" t="e">
        <f t="shared" si="2"/>
        <v>#DIV/0!</v>
      </c>
      <c r="I14" s="52" t="e">
        <f t="shared" si="3"/>
        <v>#DIV/0!</v>
      </c>
      <c r="J14" s="52" t="e">
        <f t="shared" si="4"/>
        <v>#DIV/0!</v>
      </c>
      <c r="K14" s="53" t="e">
        <f t="shared" si="5"/>
        <v>#DIV/0!</v>
      </c>
      <c r="L14" s="54" t="e">
        <f t="shared" si="6"/>
        <v>#DIV/0!</v>
      </c>
    </row>
    <row r="15" spans="1:12" ht="24.75" customHeight="1">
      <c r="A15" s="55">
        <v>42309</v>
      </c>
      <c r="B15" s="56"/>
      <c r="C15" s="47"/>
      <c r="D15" s="48">
        <f t="shared" si="0"/>
        <v>0</v>
      </c>
      <c r="E15" s="58"/>
      <c r="F15" s="58"/>
      <c r="G15" s="49">
        <f t="shared" si="1"/>
        <v>0</v>
      </c>
      <c r="H15" s="51" t="e">
        <f t="shared" si="2"/>
        <v>#DIV/0!</v>
      </c>
      <c r="I15" s="52" t="e">
        <f t="shared" si="3"/>
        <v>#DIV/0!</v>
      </c>
      <c r="J15" s="52" t="e">
        <f t="shared" si="4"/>
        <v>#DIV/0!</v>
      </c>
      <c r="K15" s="53" t="e">
        <f t="shared" si="5"/>
        <v>#DIV/0!</v>
      </c>
      <c r="L15" s="54" t="e">
        <f t="shared" si="6"/>
        <v>#DIV/0!</v>
      </c>
    </row>
    <row r="16" spans="1:12" ht="24.75" customHeight="1">
      <c r="A16" s="59">
        <v>42339</v>
      </c>
      <c r="B16" s="60"/>
      <c r="C16" s="61"/>
      <c r="D16" s="62">
        <f t="shared" si="0"/>
        <v>0</v>
      </c>
      <c r="E16" s="63"/>
      <c r="F16" s="63"/>
      <c r="G16" s="64">
        <f t="shared" si="1"/>
        <v>0</v>
      </c>
      <c r="H16" s="65" t="e">
        <f t="shared" si="2"/>
        <v>#DIV/0!</v>
      </c>
      <c r="I16" s="66" t="e">
        <f t="shared" si="3"/>
        <v>#DIV/0!</v>
      </c>
      <c r="J16" s="66" t="e">
        <f t="shared" si="4"/>
        <v>#DIV/0!</v>
      </c>
      <c r="K16" s="67" t="e">
        <f t="shared" si="5"/>
        <v>#DIV/0!</v>
      </c>
      <c r="L16" s="68" t="e">
        <f t="shared" si="6"/>
        <v>#DIV/0!</v>
      </c>
    </row>
    <row r="17" spans="1:12" ht="24.75" customHeight="1">
      <c r="A17" s="69" t="s">
        <v>23</v>
      </c>
      <c r="B17" s="70">
        <f aca="true" t="shared" si="7" ref="B17:G17">SUM(B8:B16)</f>
        <v>20000</v>
      </c>
      <c r="C17" s="71">
        <f t="shared" si="7"/>
        <v>0</v>
      </c>
      <c r="D17" s="72">
        <f t="shared" si="7"/>
        <v>20000</v>
      </c>
      <c r="E17" s="73">
        <f t="shared" si="7"/>
        <v>0</v>
      </c>
      <c r="F17" s="74">
        <f t="shared" si="7"/>
        <v>0</v>
      </c>
      <c r="G17" s="73">
        <f t="shared" si="7"/>
        <v>0</v>
      </c>
      <c r="H17" s="75" t="e">
        <f>AVERAGE(H8:H16)</f>
        <v>#DIV/0!</v>
      </c>
      <c r="I17" s="71" t="e">
        <f>AVERAGE(I8:I16)</f>
        <v>#DIV/0!</v>
      </c>
      <c r="J17" s="71" t="e">
        <f>AVERAGE(J8:J16)</f>
        <v>#DIV/0!</v>
      </c>
      <c r="K17" s="76" t="e">
        <f>AVERAGE(K8:K16)</f>
        <v>#DIV/0!</v>
      </c>
      <c r="L17" s="77" t="e">
        <f>AVERAGE(L8:L16)</f>
        <v>#DIV/0!</v>
      </c>
    </row>
    <row r="18" spans="1:12" ht="13.5">
      <c r="A18" s="78"/>
      <c r="J18" s="79"/>
      <c r="K18" s="80" t="s">
        <v>24</v>
      </c>
      <c r="L18" s="80" t="s">
        <v>25</v>
      </c>
    </row>
    <row r="19" ht="13.5">
      <c r="A19" s="78"/>
    </row>
  </sheetData>
  <sheetProtection/>
  <mergeCells count="5">
    <mergeCell ref="B3:D3"/>
    <mergeCell ref="B1:D1"/>
    <mergeCell ref="F1:G1"/>
    <mergeCell ref="B2:D2"/>
    <mergeCell ref="F2:G2"/>
  </mergeCells>
  <printOptions/>
  <pageMargins left="0.6985237748604122" right="0.6985237748604122" top="0.7499062639521802" bottom="0.7499062639521802" header="0.2999625102741512" footer="0.2999625102741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S85"/>
  <sheetViews>
    <sheetView tabSelected="1" zoomScaleSheetLayoutView="100" workbookViewId="0" topLeftCell="A1">
      <pane ySplit="12" topLeftCell="BM13" activePane="bottomLeft" state="frozen"/>
      <selection pane="topLeft" activeCell="B20" sqref="B20"/>
      <selection pane="bottomLeft" activeCell="F4" sqref="F4"/>
    </sheetView>
  </sheetViews>
  <sheetFormatPr defaultColWidth="9.00390625" defaultRowHeight="13.5" customHeight="1"/>
  <cols>
    <col min="1" max="1" width="3.50390625" style="0" customWidth="1"/>
    <col min="2" max="2" width="11.50390625" style="81" customWidth="1"/>
    <col min="3" max="3" width="6.00390625" style="1" customWidth="1"/>
    <col min="4" max="4" width="15.375" style="0" customWidth="1"/>
    <col min="5" max="5" width="9.625" style="0" customWidth="1"/>
    <col min="6" max="6" width="12.75390625" style="0" customWidth="1"/>
    <col min="7" max="7" width="12.50390625" style="82" customWidth="1"/>
    <col min="8" max="8" width="15.875" style="0" customWidth="1"/>
    <col min="9" max="9" width="10.00390625" style="82" customWidth="1"/>
    <col min="10" max="10" width="7.875" style="83" customWidth="1"/>
    <col min="11" max="11" width="13.50390625" style="167" customWidth="1"/>
    <col min="12" max="12" width="14.75390625" style="82" customWidth="1"/>
    <col min="13" max="13" width="8.00390625" style="0" customWidth="1"/>
    <col min="14" max="14" width="11.125" style="0" customWidth="1"/>
    <col min="15" max="15" width="10.125" style="84" customWidth="1"/>
    <col min="16" max="16" width="9.375" style="0" customWidth="1"/>
    <col min="17" max="17" width="10.00390625" style="85" customWidth="1"/>
    <col min="18" max="18" width="10.00390625" style="86" customWidth="1"/>
    <col min="19" max="16384" width="10.00390625" style="0" customWidth="1"/>
  </cols>
  <sheetData>
    <row r="3" spans="2:8" ht="13.5" customHeight="1">
      <c r="B3" s="81" t="s">
        <v>26</v>
      </c>
      <c r="D3" t="s">
        <v>88</v>
      </c>
      <c r="G3" s="1" t="s">
        <v>27</v>
      </c>
      <c r="H3" t="s">
        <v>89</v>
      </c>
    </row>
    <row r="4" ht="13.5" customHeight="1">
      <c r="D4" t="s">
        <v>90</v>
      </c>
    </row>
    <row r="5" ht="13.5" customHeight="1">
      <c r="D5" t="s">
        <v>143</v>
      </c>
    </row>
    <row r="7" ht="13.5" customHeight="1">
      <c r="D7" s="82" t="s">
        <v>93</v>
      </c>
    </row>
    <row r="9" spans="4:18" ht="13.5" customHeight="1">
      <c r="D9" t="s">
        <v>28</v>
      </c>
      <c r="E9" t="s">
        <v>91</v>
      </c>
      <c r="P9" t="s">
        <v>29</v>
      </c>
      <c r="Q9"/>
      <c r="R9" t="s">
        <v>30</v>
      </c>
    </row>
    <row r="10" spans="4:18" ht="13.5" customHeight="1">
      <c r="D10" t="s">
        <v>31</v>
      </c>
      <c r="E10" s="143" t="s">
        <v>92</v>
      </c>
      <c r="P10" s="1" t="s">
        <v>32</v>
      </c>
      <c r="Q10" s="78"/>
      <c r="R10" t="s">
        <v>33</v>
      </c>
    </row>
    <row r="12" spans="2:18" s="87" customFormat="1" ht="13.5">
      <c r="B12" s="88" t="s">
        <v>34</v>
      </c>
      <c r="C12" s="87" t="s">
        <v>35</v>
      </c>
      <c r="D12" s="87" t="s">
        <v>36</v>
      </c>
      <c r="E12" s="89" t="s">
        <v>37</v>
      </c>
      <c r="F12" s="89" t="s">
        <v>38</v>
      </c>
      <c r="G12" s="90" t="s">
        <v>39</v>
      </c>
      <c r="H12" s="91" t="s">
        <v>40</v>
      </c>
      <c r="I12" s="92" t="s">
        <v>41</v>
      </c>
      <c r="J12" s="93" t="s">
        <v>42</v>
      </c>
      <c r="K12" s="168" t="s">
        <v>43</v>
      </c>
      <c r="L12" s="94" t="s">
        <v>44</v>
      </c>
      <c r="M12" s="95" t="s">
        <v>45</v>
      </c>
      <c r="N12" s="95" t="s">
        <v>46</v>
      </c>
      <c r="O12" s="96" t="s">
        <v>47</v>
      </c>
      <c r="P12" s="87" t="s">
        <v>48</v>
      </c>
      <c r="Q12" s="97" t="s">
        <v>49</v>
      </c>
      <c r="R12" s="98" t="s">
        <v>50</v>
      </c>
    </row>
    <row r="13" spans="1:19" s="1" customFormat="1" ht="14.25" customHeight="1">
      <c r="A13" s="1">
        <v>1</v>
      </c>
      <c r="B13" s="81">
        <v>1000000</v>
      </c>
      <c r="C13" s="102" t="s">
        <v>53</v>
      </c>
      <c r="D13" s="100">
        <v>0.85</v>
      </c>
      <c r="E13" s="1" t="s">
        <v>52</v>
      </c>
      <c r="F13" s="101">
        <v>42268</v>
      </c>
      <c r="G13" s="82">
        <v>0.71321</v>
      </c>
      <c r="H13" s="101">
        <v>42271</v>
      </c>
      <c r="I13" s="82">
        <v>0.7024</v>
      </c>
      <c r="J13" s="83">
        <f>IF(C13="買",I13-G13,G13-I13)*100</f>
        <v>1.0809999999999986</v>
      </c>
      <c r="K13" s="167">
        <v>110101</v>
      </c>
      <c r="L13" s="82">
        <v>0.71543</v>
      </c>
      <c r="M13" s="1">
        <v>0.03</v>
      </c>
      <c r="N13" s="85">
        <f>(G13-L13)*100</f>
        <v>-0.22199999999999998</v>
      </c>
      <c r="O13" s="84">
        <f>B13*0.03</f>
        <v>30000</v>
      </c>
      <c r="P13" s="1">
        <v>120</v>
      </c>
      <c r="Q13" s="85">
        <f>ROUNDDOWN(B13*M13/N13/P13,1)</f>
        <v>-1126.1</v>
      </c>
      <c r="R13" s="86">
        <f>Q13*100</f>
        <v>-112609.99999999999</v>
      </c>
      <c r="S13" s="143" t="s">
        <v>144</v>
      </c>
    </row>
    <row r="14" spans="1:19" s="1" customFormat="1" ht="14.25" customHeight="1">
      <c r="A14" s="1">
        <v>2</v>
      </c>
      <c r="B14" s="81">
        <f>B13+K13</f>
        <v>1110101</v>
      </c>
      <c r="C14" s="102" t="s">
        <v>53</v>
      </c>
      <c r="D14" s="100">
        <v>0.85</v>
      </c>
      <c r="E14" s="1" t="s">
        <v>52</v>
      </c>
      <c r="F14" s="101">
        <v>42268</v>
      </c>
      <c r="G14" s="82">
        <v>134.849</v>
      </c>
      <c r="H14" s="101">
        <v>42270</v>
      </c>
      <c r="I14" s="82">
        <v>133.913</v>
      </c>
      <c r="J14" s="83">
        <f>IF(C14="買",I14-G14,G14-I14)*100</f>
        <v>93.59999999999786</v>
      </c>
      <c r="K14" s="169">
        <v>79475</v>
      </c>
      <c r="L14" s="82">
        <v>134.987</v>
      </c>
      <c r="M14" s="1">
        <v>0.03</v>
      </c>
      <c r="N14" s="85">
        <f>(G14-L14)*100</f>
        <v>-13.800000000000523</v>
      </c>
      <c r="O14" s="84">
        <f>B14*0.03</f>
        <v>33303.03</v>
      </c>
      <c r="P14" s="1">
        <v>100</v>
      </c>
      <c r="Q14" s="85">
        <f>ROUNDDOWN(B14*M14/N14/P14,1)</f>
        <v>-24.1</v>
      </c>
      <c r="R14" s="86">
        <f>Q14*100</f>
        <v>-2410</v>
      </c>
      <c r="S14" s="143" t="s">
        <v>145</v>
      </c>
    </row>
    <row r="15" spans="1:19" s="1" customFormat="1" ht="14.25" customHeight="1">
      <c r="A15" s="1">
        <v>3</v>
      </c>
      <c r="B15" s="81">
        <f>B14+K14</f>
        <v>1189576</v>
      </c>
      <c r="C15" s="102" t="s">
        <v>53</v>
      </c>
      <c r="D15" s="100">
        <v>0.03</v>
      </c>
      <c r="E15" s="1" t="s">
        <v>52</v>
      </c>
      <c r="F15" s="101">
        <v>42268</v>
      </c>
      <c r="G15" s="82">
        <v>1.08564</v>
      </c>
      <c r="H15" s="101">
        <v>42269</v>
      </c>
      <c r="I15" s="82">
        <v>1.08548</v>
      </c>
      <c r="J15" s="83">
        <f>IF(C15="買",I15-G15,G15-I15)*100</f>
        <v>0.015999999999993797</v>
      </c>
      <c r="K15" s="169">
        <v>0</v>
      </c>
      <c r="L15" s="82">
        <v>1.08548</v>
      </c>
      <c r="M15" s="1">
        <v>0.03</v>
      </c>
      <c r="N15" s="85">
        <f>(G15-L15)*100</f>
        <v>0.015999999999993797</v>
      </c>
      <c r="O15" s="84">
        <f>B15*0.03</f>
        <v>35687.28</v>
      </c>
      <c r="P15" s="1">
        <v>123</v>
      </c>
      <c r="Q15" s="85">
        <f>ROUNDDOWN(B15*M15/N15/P15,1)</f>
        <v>18133.7</v>
      </c>
      <c r="R15" s="86">
        <f>Q15*100</f>
        <v>1813370</v>
      </c>
      <c r="S15" s="143" t="s">
        <v>146</v>
      </c>
    </row>
    <row r="16" spans="1:19" s="1" customFormat="1" ht="14.25" customHeight="1">
      <c r="A16" s="1">
        <v>4</v>
      </c>
      <c r="B16" s="81">
        <f>B15+K15</f>
        <v>1189576</v>
      </c>
      <c r="C16" s="102" t="s">
        <v>53</v>
      </c>
      <c r="D16" s="100">
        <v>0.35</v>
      </c>
      <c r="E16" s="1" t="s">
        <v>52</v>
      </c>
      <c r="F16" s="101">
        <v>42270</v>
      </c>
      <c r="G16" s="82">
        <v>2.02534</v>
      </c>
      <c r="H16" s="101">
        <v>42270</v>
      </c>
      <c r="I16" s="82">
        <v>2.02464</v>
      </c>
      <c r="J16" s="83">
        <f>IF(C16="買",I16-G16,G16-I16)*100</f>
        <v>0.06999999999997009</v>
      </c>
      <c r="K16" s="167">
        <v>0</v>
      </c>
      <c r="L16" s="82">
        <v>2.03123</v>
      </c>
      <c r="M16" s="1">
        <v>0.03</v>
      </c>
      <c r="N16" s="85">
        <f>(G16-L16)*100</f>
        <v>-0.5889999999999951</v>
      </c>
      <c r="O16" s="84">
        <f>B16*0.03</f>
        <v>35687.28</v>
      </c>
      <c r="P16" s="1">
        <v>100</v>
      </c>
      <c r="Q16" s="85">
        <f>ROUNDDOWN(B16*M16/N16/P16,1)</f>
        <v>-605.8</v>
      </c>
      <c r="R16" s="86">
        <f>Q16*100</f>
        <v>-60579.99999999999</v>
      </c>
      <c r="S16" s="170" t="s">
        <v>147</v>
      </c>
    </row>
    <row r="17" spans="1:19" s="1" customFormat="1" ht="14.25" customHeight="1">
      <c r="A17" s="1">
        <v>5</v>
      </c>
      <c r="B17" s="81">
        <f>B16+K16</f>
        <v>1189576</v>
      </c>
      <c r="C17" s="99" t="s">
        <v>51</v>
      </c>
      <c r="D17" s="100">
        <v>0.25</v>
      </c>
      <c r="E17" s="1" t="s">
        <v>52</v>
      </c>
      <c r="F17" s="101">
        <v>42271</v>
      </c>
      <c r="G17" s="82">
        <v>2.19454</v>
      </c>
      <c r="H17" s="101">
        <v>42271</v>
      </c>
      <c r="I17" s="82">
        <v>2.17062</v>
      </c>
      <c r="J17" s="83">
        <f>IF(C17="買",I17-G17,G17-I17)*100</f>
        <v>-2.391999999999994</v>
      </c>
      <c r="K17" s="167">
        <v>-50307</v>
      </c>
      <c r="L17" s="82">
        <v>2.1956</v>
      </c>
      <c r="M17" s="1">
        <v>0.03</v>
      </c>
      <c r="N17" s="85">
        <f>(G17-L17)*100</f>
        <v>-0.1060000000000283</v>
      </c>
      <c r="O17" s="84">
        <f>B17*0.03</f>
        <v>35687.28</v>
      </c>
      <c r="P17" s="1">
        <v>84</v>
      </c>
      <c r="Q17" s="85">
        <f>ROUNDDOWN(B17*M17/N17/P17,1)</f>
        <v>-4008</v>
      </c>
      <c r="R17" s="86">
        <f>Q17*100</f>
        <v>-400800</v>
      </c>
      <c r="S17" s="170" t="s">
        <v>148</v>
      </c>
    </row>
    <row r="18" spans="1:18" s="1" customFormat="1" ht="14.25" customHeight="1">
      <c r="A18" s="1">
        <v>6</v>
      </c>
      <c r="B18" s="81">
        <f>B17+K17</f>
        <v>1139269</v>
      </c>
      <c r="C18" s="99"/>
      <c r="D18" s="100"/>
      <c r="E18" s="143"/>
      <c r="F18" s="101"/>
      <c r="G18" s="103"/>
      <c r="H18" s="101"/>
      <c r="I18" s="82"/>
      <c r="J18" s="83"/>
      <c r="K18" s="167"/>
      <c r="L18" s="82"/>
      <c r="N18" s="85"/>
      <c r="O18" s="84"/>
      <c r="Q18" s="85"/>
      <c r="R18" s="86"/>
    </row>
    <row r="19" spans="10:14" ht="13.5">
      <c r="J19" s="83">
        <f>SUM(J13:J18)</f>
        <v>92.37499999999783</v>
      </c>
      <c r="K19" s="167">
        <f>SUM(K13:K18)</f>
        <v>139269</v>
      </c>
      <c r="N19" s="85"/>
    </row>
    <row r="21" spans="10:11" ht="13.5">
      <c r="J21" s="83" t="s">
        <v>54</v>
      </c>
      <c r="K21" s="167">
        <f>1000000+K19</f>
        <v>1139269</v>
      </c>
    </row>
    <row r="23" ht="13.5">
      <c r="J23" s="104"/>
    </row>
    <row r="26" spans="4:8" ht="14.25" customHeight="1">
      <c r="D26" s="105" t="s">
        <v>55</v>
      </c>
      <c r="F26" s="181" t="s">
        <v>56</v>
      </c>
      <c r="G26" s="182"/>
      <c r="H26" s="106" t="s">
        <v>57</v>
      </c>
    </row>
    <row r="27" spans="4:8" ht="13.5">
      <c r="D27" s="107" t="s">
        <v>58</v>
      </c>
      <c r="F27" s="107" t="str">
        <f>DATEDIF(F13,H17,"Y")&amp;"年"&amp;DATEDIF(F13,H17,"YM")&amp;"ヶ月"</f>
        <v>0年0ヶ月</v>
      </c>
      <c r="G27" s="108"/>
      <c r="H27" s="109"/>
    </row>
    <row r="28" spans="4:8" ht="13.5">
      <c r="D28" s="110" t="s">
        <v>59</v>
      </c>
      <c r="F28" s="110">
        <f>COUNTIF(C13:C18,"買")</f>
        <v>1</v>
      </c>
      <c r="G28" s="111"/>
      <c r="H28" s="112"/>
    </row>
    <row r="29" spans="4:8" ht="13.5">
      <c r="D29" s="110" t="s">
        <v>60</v>
      </c>
      <c r="F29" s="110">
        <f>COUNTIF(C13:C19,"売")</f>
        <v>4</v>
      </c>
      <c r="G29" s="111"/>
      <c r="H29" s="112"/>
    </row>
    <row r="30" spans="4:8" ht="13.5">
      <c r="D30" s="110" t="s">
        <v>61</v>
      </c>
      <c r="F30" s="107">
        <v>31</v>
      </c>
      <c r="G30" s="111"/>
      <c r="H30" s="112"/>
    </row>
    <row r="31" spans="4:8" ht="13.5">
      <c r="D31" s="110" t="s">
        <v>62</v>
      </c>
      <c r="F31" s="110">
        <f>COUNTIF(K13:K18,"&gt;0")</f>
        <v>2</v>
      </c>
      <c r="G31" s="111"/>
      <c r="H31" s="112"/>
    </row>
    <row r="32" spans="4:8" ht="13.5">
      <c r="D32" s="110" t="s">
        <v>63</v>
      </c>
      <c r="F32" s="110">
        <f>COUNTIF(K14:K19,"&lt;0")</f>
        <v>1</v>
      </c>
      <c r="G32" s="111"/>
      <c r="H32" s="112"/>
    </row>
    <row r="33" spans="4:8" ht="13.5">
      <c r="D33" s="110" t="s">
        <v>64</v>
      </c>
      <c r="F33" s="110">
        <f>COUNTIF(K15:K20,"=0")</f>
        <v>2</v>
      </c>
      <c r="G33" s="111"/>
      <c r="H33" s="112"/>
    </row>
    <row r="34" spans="4:8" ht="13.5">
      <c r="D34" s="113" t="s">
        <v>65</v>
      </c>
      <c r="F34" s="110">
        <v>0</v>
      </c>
      <c r="G34" s="111"/>
      <c r="H34" s="112"/>
    </row>
    <row r="35" spans="4:8" ht="13.5">
      <c r="D35" s="110" t="s">
        <v>66</v>
      </c>
      <c r="F35" s="114">
        <f>SUMIF(K12:K18,"&gt;0",K12:K18)</f>
        <v>189576</v>
      </c>
      <c r="G35" s="111"/>
      <c r="H35" s="112"/>
    </row>
    <row r="36" spans="4:8" ht="13.5">
      <c r="D36" s="110" t="s">
        <v>67</v>
      </c>
      <c r="F36" s="114">
        <f>SUMIF(K13:K18,"&lt;0",K13:K18)</f>
        <v>-50307</v>
      </c>
      <c r="G36" s="111"/>
      <c r="H36" s="112"/>
    </row>
    <row r="37" spans="4:8" ht="13.5">
      <c r="D37" s="110" t="s">
        <v>68</v>
      </c>
      <c r="F37" s="115">
        <f>F35+F36</f>
        <v>139269</v>
      </c>
      <c r="G37" s="108"/>
      <c r="H37" s="116"/>
    </row>
    <row r="38" spans="4:8" ht="13.5">
      <c r="D38" s="110" t="s">
        <v>69</v>
      </c>
      <c r="F38" s="114">
        <f>F35/F31</f>
        <v>94788</v>
      </c>
      <c r="G38" s="111"/>
      <c r="H38" s="112"/>
    </row>
    <row r="39" spans="4:8" ht="13.5">
      <c r="D39" s="110" t="s">
        <v>70</v>
      </c>
      <c r="F39" s="114">
        <f>F36/F32</f>
        <v>-50307</v>
      </c>
      <c r="G39" s="111"/>
      <c r="H39" s="112"/>
    </row>
    <row r="40" spans="4:8" ht="13.5">
      <c r="D40" s="110" t="s">
        <v>71</v>
      </c>
      <c r="F40" s="110"/>
      <c r="G40" s="111"/>
      <c r="H40" s="112"/>
    </row>
    <row r="41" spans="4:8" ht="13.5">
      <c r="D41" s="110" t="s">
        <v>72</v>
      </c>
      <c r="F41" s="110"/>
      <c r="G41" s="111"/>
      <c r="H41" s="112"/>
    </row>
    <row r="42" spans="4:8" ht="13.5">
      <c r="D42" s="110" t="s">
        <v>73</v>
      </c>
      <c r="F42" s="110"/>
      <c r="G42" s="111"/>
      <c r="H42" s="112"/>
    </row>
    <row r="43" spans="4:8" ht="14.25" customHeight="1">
      <c r="D43" s="117" t="s">
        <v>74</v>
      </c>
      <c r="F43" s="118">
        <f>F31/F30</f>
        <v>0.06451612903225806</v>
      </c>
      <c r="G43" s="111"/>
      <c r="H43" s="112"/>
    </row>
    <row r="44" spans="6:8" ht="13.5">
      <c r="F44" s="110"/>
      <c r="G44" s="111"/>
      <c r="H44" s="112"/>
    </row>
    <row r="45" spans="6:8" ht="14.25" customHeight="1">
      <c r="F45" s="117"/>
      <c r="G45" s="119"/>
      <c r="H45" s="120"/>
    </row>
    <row r="46" spans="6:8" ht="14.25" customHeight="1">
      <c r="F46" s="121" t="s">
        <v>75</v>
      </c>
      <c r="G46" s="122">
        <f>SUM(G27:G45)</f>
        <v>0</v>
      </c>
      <c r="H46" s="123">
        <f>SUM(H27:H45)</f>
        <v>0</v>
      </c>
    </row>
    <row r="49" spans="6:9" ht="14.25" customHeight="1">
      <c r="F49" s="183" t="s">
        <v>76</v>
      </c>
      <c r="G49" s="184"/>
      <c r="H49" s="124" t="s">
        <v>77</v>
      </c>
      <c r="I49" s="125" t="s">
        <v>78</v>
      </c>
    </row>
    <row r="50" spans="6:9" ht="13.5">
      <c r="F50" s="107" t="s">
        <v>79</v>
      </c>
      <c r="G50" s="108">
        <v>0</v>
      </c>
      <c r="H50" s="126">
        <v>0</v>
      </c>
      <c r="I50" s="127">
        <v>0</v>
      </c>
    </row>
    <row r="51" spans="6:9" ht="13.5">
      <c r="F51" s="110" t="s">
        <v>80</v>
      </c>
      <c r="G51" s="111">
        <v>0</v>
      </c>
      <c r="H51" s="128">
        <v>0</v>
      </c>
      <c r="I51" s="129">
        <v>0</v>
      </c>
    </row>
    <row r="52" spans="6:9" ht="13.5">
      <c r="F52" s="110" t="s">
        <v>81</v>
      </c>
      <c r="G52" s="111">
        <v>0</v>
      </c>
      <c r="H52" s="128">
        <v>0</v>
      </c>
      <c r="I52" s="129">
        <v>0</v>
      </c>
    </row>
    <row r="53" spans="6:9" ht="13.5">
      <c r="F53" s="110" t="s">
        <v>82</v>
      </c>
      <c r="G53" s="111">
        <v>0</v>
      </c>
      <c r="H53" s="128">
        <v>0</v>
      </c>
      <c r="I53" s="129">
        <v>0</v>
      </c>
    </row>
    <row r="54" spans="6:9" ht="14.25" customHeight="1">
      <c r="F54" s="130" t="s">
        <v>83</v>
      </c>
      <c r="G54" s="131">
        <v>0</v>
      </c>
      <c r="H54" s="132">
        <v>0</v>
      </c>
      <c r="I54" s="133">
        <v>0</v>
      </c>
    </row>
    <row r="55" spans="6:9" ht="14.25" customHeight="1">
      <c r="F55" s="134" t="s">
        <v>84</v>
      </c>
      <c r="G55" s="135"/>
      <c r="H55" s="136"/>
      <c r="I55" s="137">
        <f>SUM(I50:I54)</f>
        <v>0</v>
      </c>
    </row>
    <row r="84" ht="13.5" customHeight="1">
      <c r="G84" s="138"/>
    </row>
    <row r="85" ht="13.5" customHeight="1">
      <c r="G85" s="138"/>
    </row>
  </sheetData>
  <sheetProtection/>
  <mergeCells count="2">
    <mergeCell ref="F26:G26"/>
    <mergeCell ref="F49:G49"/>
  </mergeCells>
  <conditionalFormatting sqref="C13:C16">
    <cfRule type="cellIs" priority="1" dxfId="0" operator="equal" stopIfTrue="1">
      <formula>"買"</formula>
    </cfRule>
  </conditionalFormatting>
  <printOptions/>
  <pageMargins left="0.6985237748604122" right="0.6985237748604122" top="0.7499062639521802" bottom="0.7499062639521802" header="0.2999625102741512" footer="0.2999625102741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14"/>
  <sheetViews>
    <sheetView workbookViewId="0" topLeftCell="A1">
      <selection activeCell="B114" sqref="B114"/>
    </sheetView>
  </sheetViews>
  <sheetFormatPr defaultColWidth="9.00390625" defaultRowHeight="13.5"/>
  <sheetData>
    <row r="1" ht="13.5">
      <c r="A1">
        <v>1</v>
      </c>
    </row>
    <row r="29" ht="13.5">
      <c r="A29">
        <v>2</v>
      </c>
    </row>
    <row r="57" ht="13.5">
      <c r="A57">
        <v>3</v>
      </c>
    </row>
    <row r="85" ht="13.5">
      <c r="A85">
        <v>4</v>
      </c>
    </row>
    <row r="114" ht="13.5">
      <c r="A114">
        <v>5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7"/>
  <sheetViews>
    <sheetView zoomScaleSheetLayoutView="100" workbookViewId="0" topLeftCell="A1">
      <selection activeCell="B7" sqref="B7:B17"/>
    </sheetView>
  </sheetViews>
  <sheetFormatPr defaultColWidth="9.00390625" defaultRowHeight="13.5"/>
  <cols>
    <col min="1" max="1" width="8.875" style="0" customWidth="1"/>
    <col min="2" max="2" width="67.625" style="0" customWidth="1"/>
    <col min="3" max="16384" width="8.875" style="0" customWidth="1"/>
  </cols>
  <sheetData>
    <row r="1" spans="1:9" ht="13.5">
      <c r="A1" s="139" t="s">
        <v>85</v>
      </c>
      <c r="B1" s="140"/>
      <c r="C1" s="140"/>
      <c r="D1" s="140"/>
      <c r="E1" s="140"/>
      <c r="F1" s="140"/>
      <c r="G1" s="140"/>
      <c r="H1" s="140"/>
      <c r="I1" s="14"/>
    </row>
    <row r="2" spans="1:9" ht="14.25" customHeight="1">
      <c r="A2" s="141" t="s">
        <v>86</v>
      </c>
      <c r="B2" s="142"/>
      <c r="C2" s="142"/>
      <c r="D2" s="142"/>
      <c r="E2" s="142"/>
      <c r="F2" s="142"/>
      <c r="G2" s="142"/>
      <c r="H2" s="142"/>
      <c r="I2" s="14"/>
    </row>
    <row r="3" spans="1:4" ht="14.25" customHeight="1">
      <c r="A3" s="14"/>
      <c r="D3" s="14"/>
    </row>
    <row r="7" spans="1:2" ht="13.5">
      <c r="A7" t="s">
        <v>87</v>
      </c>
      <c r="B7" t="s">
        <v>149</v>
      </c>
    </row>
    <row r="8" ht="13.5">
      <c r="B8" t="s">
        <v>150</v>
      </c>
    </row>
    <row r="9" ht="13.5">
      <c r="B9" t="s">
        <v>151</v>
      </c>
    </row>
    <row r="10" ht="13.5">
      <c r="B10" t="s">
        <v>152</v>
      </c>
    </row>
    <row r="11" ht="13.5">
      <c r="B11" t="s">
        <v>153</v>
      </c>
    </row>
    <row r="13" ht="13.5">
      <c r="B13" t="s">
        <v>154</v>
      </c>
    </row>
    <row r="15" ht="13.5">
      <c r="B15" t="s">
        <v>155</v>
      </c>
    </row>
    <row r="17" ht="13.5">
      <c r="B17" t="s">
        <v>156</v>
      </c>
    </row>
  </sheetData>
  <sheetProtection/>
  <printOptions/>
  <pageMargins left="0.7499062639521802" right="0.7499062639521802" top="0.9998749560258521" bottom="0.9998749560258521" header="0.5110472206055648" footer="0.5110472206055648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K39"/>
  <sheetViews>
    <sheetView workbookViewId="0" topLeftCell="A1">
      <selection activeCell="E42" sqref="E42"/>
    </sheetView>
  </sheetViews>
  <sheetFormatPr defaultColWidth="9.00390625" defaultRowHeight="13.5"/>
  <cols>
    <col min="1" max="1" width="2.75390625" style="144" customWidth="1"/>
    <col min="2" max="3" width="17.00390625" style="144" customWidth="1"/>
    <col min="4" max="4" width="5.00390625" style="144" customWidth="1"/>
    <col min="5" max="6" width="17.00390625" style="144" customWidth="1"/>
    <col min="7" max="7" width="11.625" style="144" customWidth="1"/>
    <col min="8" max="8" width="16.625" style="144" bestFit="1" customWidth="1"/>
    <col min="9" max="9" width="6.50390625" style="144" bestFit="1" customWidth="1"/>
    <col min="10" max="10" width="7.25390625" style="144" customWidth="1"/>
    <col min="11" max="16384" width="9.00390625" style="144" customWidth="1"/>
  </cols>
  <sheetData>
    <row r="2" spans="3:6" ht="17.25">
      <c r="C2" s="146" t="s">
        <v>94</v>
      </c>
      <c r="E2" s="185" t="s">
        <v>95</v>
      </c>
      <c r="F2" s="186"/>
    </row>
    <row r="3" spans="2:11" ht="17.25">
      <c r="B3" s="147" t="s">
        <v>96</v>
      </c>
      <c r="C3" s="148">
        <f>K3</f>
        <v>1238020</v>
      </c>
      <c r="E3" s="149" t="s">
        <v>97</v>
      </c>
      <c r="F3" s="150">
        <v>123.802</v>
      </c>
      <c r="H3" s="151" t="s">
        <v>98</v>
      </c>
      <c r="I3" s="152">
        <v>10000</v>
      </c>
      <c r="J3" s="153" t="s">
        <v>96</v>
      </c>
      <c r="K3" s="152">
        <f>I3*F3</f>
        <v>1238020</v>
      </c>
    </row>
    <row r="4" spans="2:11" ht="17.25">
      <c r="B4" s="154" t="s">
        <v>99</v>
      </c>
      <c r="C4" s="155">
        <v>0.01</v>
      </c>
      <c r="E4" s="149" t="s">
        <v>100</v>
      </c>
      <c r="F4" s="150">
        <v>135.889</v>
      </c>
      <c r="H4" s="151" t="s">
        <v>101</v>
      </c>
      <c r="I4" s="156">
        <v>19651</v>
      </c>
      <c r="J4" s="153" t="s">
        <v>102</v>
      </c>
      <c r="K4" s="152">
        <f>I4-I5</f>
        <v>135</v>
      </c>
    </row>
    <row r="5" spans="2:9" ht="17.25">
      <c r="B5" s="154" t="s">
        <v>103</v>
      </c>
      <c r="C5" s="157" t="s">
        <v>142</v>
      </c>
      <c r="E5" s="149" t="s">
        <v>104</v>
      </c>
      <c r="F5" s="150">
        <v>191.977</v>
      </c>
      <c r="H5" s="151" t="s">
        <v>105</v>
      </c>
      <c r="I5" s="156">
        <v>19516</v>
      </c>
    </row>
    <row r="6" spans="2:6" ht="17.25">
      <c r="B6" s="147" t="s">
        <v>102</v>
      </c>
      <c r="C6" s="158">
        <f>K4</f>
        <v>135</v>
      </c>
      <c r="E6" s="149" t="s">
        <v>106</v>
      </c>
      <c r="F6" s="150">
        <v>90.191</v>
      </c>
    </row>
    <row r="7" spans="2:6" ht="17.25">
      <c r="B7" s="187" t="s">
        <v>107</v>
      </c>
      <c r="C7" s="187"/>
      <c r="E7" s="149" t="s">
        <v>108</v>
      </c>
      <c r="F7" s="150">
        <v>81.414</v>
      </c>
    </row>
    <row r="8" spans="2:6" ht="17.25">
      <c r="B8" s="147" t="s">
        <v>109</v>
      </c>
      <c r="C8" s="159">
        <f>SUMIF(B12:B39,C5,E12:E39)/10000</f>
        <v>0.4</v>
      </c>
      <c r="E8" s="149" t="s">
        <v>110</v>
      </c>
      <c r="F8" s="150">
        <v>94.93</v>
      </c>
    </row>
    <row r="9" spans="2:6" ht="17.25">
      <c r="B9" s="160" t="s">
        <v>111</v>
      </c>
      <c r="C9" s="161">
        <f>C3*C4</f>
        <v>12380.2</v>
      </c>
      <c r="E9" s="149" t="s">
        <v>112</v>
      </c>
      <c r="F9" s="150">
        <v>128.591</v>
      </c>
    </row>
    <row r="10" spans="2:6" ht="17.25">
      <c r="B10" s="147" t="s">
        <v>113</v>
      </c>
      <c r="C10" s="162">
        <f>SUMIF(B12:B39,C5,F12:F39)</f>
        <v>10366.758</v>
      </c>
      <c r="F10" s="163" t="s">
        <v>114</v>
      </c>
    </row>
    <row r="12" spans="2:6" ht="13.5" hidden="1">
      <c r="B12" s="144" t="s">
        <v>115</v>
      </c>
      <c r="D12" s="164">
        <v>100</v>
      </c>
      <c r="E12" s="165">
        <f aca="true" t="shared" si="0" ref="E12:E39">(ROUNDDOWN($C$9/($C$6/D12),-3))</f>
        <v>9000</v>
      </c>
      <c r="F12" s="145">
        <f aca="true" t="shared" si="1" ref="F12:F39">$C$6*E12/D12</f>
        <v>12150</v>
      </c>
    </row>
    <row r="13" spans="2:6" ht="13.5" hidden="1">
      <c r="B13" s="144" t="s">
        <v>116</v>
      </c>
      <c r="C13" s="166">
        <f>F3/F8</f>
        <v>1.304139892552407</v>
      </c>
      <c r="D13" s="164">
        <f>10000/$F$8</f>
        <v>105.34077741493732</v>
      </c>
      <c r="E13" s="165">
        <f t="shared" si="0"/>
        <v>9000</v>
      </c>
      <c r="F13" s="145">
        <f t="shared" si="1"/>
        <v>11533.995</v>
      </c>
    </row>
    <row r="14" spans="2:6" ht="13.5" hidden="1">
      <c r="B14" s="144" t="s">
        <v>117</v>
      </c>
      <c r="C14" s="166">
        <f>F3/F9</f>
        <v>0.962757891298769</v>
      </c>
      <c r="D14" s="164">
        <f>10000/$F$9</f>
        <v>77.76594007356657</v>
      </c>
      <c r="E14" s="165">
        <f t="shared" si="0"/>
        <v>7000</v>
      </c>
      <c r="F14" s="145">
        <f t="shared" si="1"/>
        <v>12151.849500000002</v>
      </c>
    </row>
    <row r="15" spans="2:6" ht="13.5" hidden="1">
      <c r="B15" s="144" t="s">
        <v>118</v>
      </c>
      <c r="C15" s="166"/>
      <c r="D15" s="164">
        <v>100</v>
      </c>
      <c r="E15" s="165">
        <f t="shared" si="0"/>
        <v>9000</v>
      </c>
      <c r="F15" s="145">
        <f t="shared" si="1"/>
        <v>12150</v>
      </c>
    </row>
    <row r="16" spans="2:6" ht="13.5" hidden="1">
      <c r="B16" s="144" t="s">
        <v>119</v>
      </c>
      <c r="C16" s="166">
        <f>F4/F3</f>
        <v>1.0976317022342128</v>
      </c>
      <c r="D16" s="164">
        <f>10000/$F$3</f>
        <v>80.7741393515452</v>
      </c>
      <c r="E16" s="165">
        <f t="shared" si="0"/>
        <v>7000</v>
      </c>
      <c r="F16" s="145">
        <f t="shared" si="1"/>
        <v>11699.289</v>
      </c>
    </row>
    <row r="17" spans="2:6" ht="13.5" hidden="1">
      <c r="B17" s="144" t="s">
        <v>120</v>
      </c>
      <c r="C17" s="166">
        <f>F4/F5</f>
        <v>0.7078400016668663</v>
      </c>
      <c r="D17" s="164">
        <f>10000/$F$5</f>
        <v>52.089573230126526</v>
      </c>
      <c r="E17" s="165">
        <f t="shared" si="0"/>
        <v>4000</v>
      </c>
      <c r="F17" s="145">
        <f t="shared" si="1"/>
        <v>10366.758</v>
      </c>
    </row>
    <row r="18" spans="2:6" ht="13.5" hidden="1">
      <c r="B18" s="144" t="s">
        <v>121</v>
      </c>
      <c r="C18" s="166">
        <f>F4/F6</f>
        <v>1.506680267432449</v>
      </c>
      <c r="D18" s="164">
        <f>10000/$F$6</f>
        <v>110.87580800745086</v>
      </c>
      <c r="E18" s="165">
        <f t="shared" si="0"/>
        <v>10000</v>
      </c>
      <c r="F18" s="145">
        <f t="shared" si="1"/>
        <v>12175.785</v>
      </c>
    </row>
    <row r="19" spans="2:6" ht="13.5" hidden="1">
      <c r="B19" s="144" t="s">
        <v>122</v>
      </c>
      <c r="C19" s="166">
        <f>F4/F7</f>
        <v>1.6691109637163142</v>
      </c>
      <c r="D19" s="164">
        <f>10000/$F$7</f>
        <v>122.82899746972265</v>
      </c>
      <c r="E19" s="165">
        <f t="shared" si="0"/>
        <v>11000</v>
      </c>
      <c r="F19" s="145">
        <f t="shared" si="1"/>
        <v>12089.979</v>
      </c>
    </row>
    <row r="20" spans="2:6" ht="13.5" hidden="1">
      <c r="B20" s="144" t="s">
        <v>123</v>
      </c>
      <c r="C20" s="166">
        <f>F4/F8</f>
        <v>1.4314652902138418</v>
      </c>
      <c r="D20" s="164">
        <f>10000/$F$8</f>
        <v>105.34077741493732</v>
      </c>
      <c r="E20" s="165">
        <f t="shared" si="0"/>
        <v>9000</v>
      </c>
      <c r="F20" s="145">
        <f t="shared" si="1"/>
        <v>11533.995</v>
      </c>
    </row>
    <row r="21" spans="2:6" ht="13.5" hidden="1">
      <c r="B21" s="144" t="s">
        <v>124</v>
      </c>
      <c r="C21" s="166">
        <f>F4/F9</f>
        <v>1.056753583065689</v>
      </c>
      <c r="D21" s="164">
        <f>10000/$F$9</f>
        <v>77.76594007356657</v>
      </c>
      <c r="E21" s="165">
        <f t="shared" si="0"/>
        <v>7000</v>
      </c>
      <c r="F21" s="145">
        <f t="shared" si="1"/>
        <v>12151.849500000002</v>
      </c>
    </row>
    <row r="22" spans="2:6" ht="13.5" hidden="1">
      <c r="B22" s="144" t="s">
        <v>125</v>
      </c>
      <c r="C22" s="166"/>
      <c r="D22" s="164">
        <v>100</v>
      </c>
      <c r="E22" s="165">
        <f t="shared" si="0"/>
        <v>9000</v>
      </c>
      <c r="F22" s="145">
        <f t="shared" si="1"/>
        <v>12150</v>
      </c>
    </row>
    <row r="23" spans="2:6" ht="13.5" hidden="1">
      <c r="B23" s="144" t="s">
        <v>126</v>
      </c>
      <c r="C23" s="166">
        <f>F5/F3</f>
        <v>1.5506776950291594</v>
      </c>
      <c r="D23" s="164">
        <f>10000/$F$3</f>
        <v>80.7741393515452</v>
      </c>
      <c r="E23" s="165">
        <f t="shared" si="0"/>
        <v>7000</v>
      </c>
      <c r="F23" s="145">
        <f t="shared" si="1"/>
        <v>11699.289</v>
      </c>
    </row>
    <row r="24" spans="2:6" ht="13.5" hidden="1">
      <c r="B24" s="144" t="s">
        <v>127</v>
      </c>
      <c r="C24" s="166">
        <f>F5/F6</f>
        <v>2.128560499384639</v>
      </c>
      <c r="D24" s="164">
        <f>10000/$F$6</f>
        <v>110.87580800745086</v>
      </c>
      <c r="E24" s="165">
        <f t="shared" si="0"/>
        <v>10000</v>
      </c>
      <c r="F24" s="145">
        <f t="shared" si="1"/>
        <v>12175.785</v>
      </c>
    </row>
    <row r="25" spans="2:6" ht="13.5" hidden="1">
      <c r="B25" s="144" t="s">
        <v>128</v>
      </c>
      <c r="C25" s="166">
        <f>F5/F7</f>
        <v>2.3580342447244944</v>
      </c>
      <c r="D25" s="164">
        <f>10000/$F$7</f>
        <v>122.82899746972265</v>
      </c>
      <c r="E25" s="165">
        <f t="shared" si="0"/>
        <v>11000</v>
      </c>
      <c r="F25" s="145">
        <f t="shared" si="1"/>
        <v>12089.979</v>
      </c>
    </row>
    <row r="26" spans="2:6" ht="13.5" hidden="1">
      <c r="B26" s="144" t="s">
        <v>129</v>
      </c>
      <c r="C26" s="166">
        <f>F5/F8</f>
        <v>2.022300642578742</v>
      </c>
      <c r="D26" s="164">
        <f>10000/$F$8</f>
        <v>105.34077741493732</v>
      </c>
      <c r="E26" s="165">
        <f t="shared" si="0"/>
        <v>9000</v>
      </c>
      <c r="F26" s="145">
        <f t="shared" si="1"/>
        <v>11533.995</v>
      </c>
    </row>
    <row r="27" spans="2:6" ht="13.5" hidden="1">
      <c r="B27" s="144" t="s">
        <v>130</v>
      </c>
      <c r="C27" s="166">
        <f>F5/F9</f>
        <v>1.492927187750309</v>
      </c>
      <c r="D27" s="164">
        <f>10000/$F$9</f>
        <v>77.76594007356657</v>
      </c>
      <c r="E27" s="165">
        <f t="shared" si="0"/>
        <v>7000</v>
      </c>
      <c r="F27" s="145">
        <f t="shared" si="1"/>
        <v>12151.849500000002</v>
      </c>
    </row>
    <row r="28" spans="2:6" ht="13.5" hidden="1">
      <c r="B28" s="144" t="s">
        <v>131</v>
      </c>
      <c r="C28" s="166"/>
      <c r="D28" s="164">
        <v>100</v>
      </c>
      <c r="E28" s="165">
        <f t="shared" si="0"/>
        <v>9000</v>
      </c>
      <c r="F28" s="145">
        <f t="shared" si="1"/>
        <v>12150</v>
      </c>
    </row>
    <row r="29" spans="2:6" ht="13.5" hidden="1">
      <c r="B29" s="144" t="s">
        <v>132</v>
      </c>
      <c r="C29" s="166">
        <f>F6/F3</f>
        <v>0.7285100402255213</v>
      </c>
      <c r="D29" s="164">
        <f>10000/$F$3</f>
        <v>80.7741393515452</v>
      </c>
      <c r="E29" s="165">
        <f t="shared" si="0"/>
        <v>7000</v>
      </c>
      <c r="F29" s="145">
        <f t="shared" si="1"/>
        <v>11699.289</v>
      </c>
    </row>
    <row r="30" spans="2:6" ht="13.5" hidden="1">
      <c r="B30" s="144" t="s">
        <v>133</v>
      </c>
      <c r="C30" s="166">
        <f>F6/F7</f>
        <v>1.1078070110791756</v>
      </c>
      <c r="D30" s="164">
        <f>10000/$F$7</f>
        <v>122.82899746972265</v>
      </c>
      <c r="E30" s="165">
        <f t="shared" si="0"/>
        <v>11000</v>
      </c>
      <c r="F30" s="145">
        <f t="shared" si="1"/>
        <v>12089.979</v>
      </c>
    </row>
    <row r="31" spans="2:6" ht="13.5" hidden="1">
      <c r="B31" s="144" t="s">
        <v>134</v>
      </c>
      <c r="C31" s="166">
        <f>F6/F8</f>
        <v>0.9500790055830611</v>
      </c>
      <c r="D31" s="164">
        <f>10000/$F$8</f>
        <v>105.34077741493732</v>
      </c>
      <c r="E31" s="165">
        <f t="shared" si="0"/>
        <v>9000</v>
      </c>
      <c r="F31" s="145">
        <f t="shared" si="1"/>
        <v>11533.995</v>
      </c>
    </row>
    <row r="32" spans="2:6" ht="13.5" hidden="1">
      <c r="B32" s="144" t="s">
        <v>135</v>
      </c>
      <c r="C32" s="166">
        <f>F6/F9</f>
        <v>0.7013787901175043</v>
      </c>
      <c r="D32" s="164">
        <f>10000/$F$9</f>
        <v>77.76594007356657</v>
      </c>
      <c r="E32" s="165">
        <f t="shared" si="0"/>
        <v>7000</v>
      </c>
      <c r="F32" s="145">
        <f t="shared" si="1"/>
        <v>12151.849500000002</v>
      </c>
    </row>
    <row r="33" spans="2:6" ht="13.5" hidden="1">
      <c r="B33" s="144" t="s">
        <v>136</v>
      </c>
      <c r="C33" s="166"/>
      <c r="D33" s="164">
        <v>100</v>
      </c>
      <c r="E33" s="165">
        <f t="shared" si="0"/>
        <v>9000</v>
      </c>
      <c r="F33" s="145">
        <f t="shared" si="1"/>
        <v>12150</v>
      </c>
    </row>
    <row r="34" spans="2:6" ht="13.5" hidden="1">
      <c r="B34" s="144" t="s">
        <v>137</v>
      </c>
      <c r="C34" s="166">
        <f>F7/F3</f>
        <v>0.6576145781166701</v>
      </c>
      <c r="D34" s="164">
        <f>10000/$F$3</f>
        <v>80.7741393515452</v>
      </c>
      <c r="E34" s="165">
        <f t="shared" si="0"/>
        <v>7000</v>
      </c>
      <c r="F34" s="145">
        <f t="shared" si="1"/>
        <v>11699.289</v>
      </c>
    </row>
    <row r="35" spans="2:6" ht="13.5" hidden="1">
      <c r="B35" s="144" t="s">
        <v>138</v>
      </c>
      <c r="C35" s="166">
        <f>F7/F8</f>
        <v>0.8576214052459706</v>
      </c>
      <c r="D35" s="164">
        <f>10000/$F$8</f>
        <v>105.34077741493732</v>
      </c>
      <c r="E35" s="165">
        <f t="shared" si="0"/>
        <v>9000</v>
      </c>
      <c r="F35" s="145">
        <f t="shared" si="1"/>
        <v>11533.995</v>
      </c>
    </row>
    <row r="36" spans="2:6" ht="13.5" hidden="1">
      <c r="B36" s="144" t="s">
        <v>139</v>
      </c>
      <c r="C36" s="166">
        <f>F7/F9</f>
        <v>0.6331236245149349</v>
      </c>
      <c r="D36" s="164">
        <f>10000/$F$9</f>
        <v>77.76594007356657</v>
      </c>
      <c r="E36" s="165">
        <f t="shared" si="0"/>
        <v>7000</v>
      </c>
      <c r="F36" s="145">
        <f t="shared" si="1"/>
        <v>12151.849500000002</v>
      </c>
    </row>
    <row r="37" spans="2:6" ht="13.5" hidden="1">
      <c r="B37" s="144" t="s">
        <v>140</v>
      </c>
      <c r="C37" s="166"/>
      <c r="D37" s="164">
        <v>100</v>
      </c>
      <c r="E37" s="165">
        <f t="shared" si="0"/>
        <v>9000</v>
      </c>
      <c r="F37" s="145">
        <f t="shared" si="1"/>
        <v>12150</v>
      </c>
    </row>
    <row r="38" spans="2:6" ht="13.5" hidden="1">
      <c r="B38" s="144" t="s">
        <v>141</v>
      </c>
      <c r="C38" s="166">
        <f>F8/F9</f>
        <v>0.7382320691183676</v>
      </c>
      <c r="D38" s="164">
        <f>10000/$F$9</f>
        <v>77.76594007356657</v>
      </c>
      <c r="E38" s="165">
        <f t="shared" si="0"/>
        <v>7000</v>
      </c>
      <c r="F38" s="145">
        <f t="shared" si="1"/>
        <v>12151.849500000002</v>
      </c>
    </row>
    <row r="39" spans="2:6" ht="13.5" hidden="1">
      <c r="B39" s="144" t="s">
        <v>112</v>
      </c>
      <c r="D39" s="164">
        <v>100</v>
      </c>
      <c r="E39" s="165">
        <f t="shared" si="0"/>
        <v>9000</v>
      </c>
      <c r="F39" s="145">
        <f t="shared" si="1"/>
        <v>12150</v>
      </c>
    </row>
  </sheetData>
  <mergeCells count="2">
    <mergeCell ref="E2:F2"/>
    <mergeCell ref="B7:C7"/>
  </mergeCells>
  <dataValidations count="1">
    <dataValidation type="list" allowBlank="1" showInputMessage="1" showErrorMessage="1" sqref="C5">
      <formula1>$B$12:$B$39</formula1>
    </dataValidation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14089672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miho</cp:lastModifiedBy>
  <cp:lastPrinted>2026-01-07T07:28:36Z</cp:lastPrinted>
  <dcterms:created xsi:type="dcterms:W3CDTF">2013-10-09T23:04:08Z</dcterms:created>
  <dcterms:modified xsi:type="dcterms:W3CDTF">2015-09-26T16:59:27Z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