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591" yWindow="420" windowWidth="19335" windowHeight="7155" activeTab="0"/>
  </bookViews>
  <sheets>
    <sheet name="ルール＆合計" sheetId="1" r:id="rId1"/>
    <sheet name="集計" sheetId="2" state="hidden" r:id="rId2"/>
    <sheet name="検証データ" sheetId="3" r:id="rId3"/>
    <sheet name="トレード履歴8月分" sheetId="4" r:id="rId4"/>
    <sheet name="画像" sheetId="5" r:id="rId5"/>
    <sheet name="気づき" sheetId="6" r:id="rId6"/>
    <sheet name="検証終了通貨" sheetId="7" r:id="rId7"/>
  </sheets>
  <definedNames>
    <definedName name="_xlnm._FilterDatabase" localSheetId="2" hidden="1">'検証データ'!$A$4:$AB$114</definedName>
    <definedName name="_xlfn.COUNTIFS" hidden="1">#NAME?</definedName>
    <definedName name="_xlfn.SUMIFS" hidden="1">#NAME?</definedName>
  </definedNames>
  <calcPr fullCalcOnLoad="1"/>
</workbook>
</file>

<file path=xl/comments3.xml><?xml version="1.0" encoding="utf-8"?>
<comments xmlns="http://schemas.openxmlformats.org/spreadsheetml/2006/main">
  <authors>
    <author>yoko</author>
  </authors>
  <commentList>
    <comment ref="O4" authorId="0">
      <text>
        <r>
          <rPr>
            <sz val="9"/>
            <rFont val="ＭＳ Ｐゴシック"/>
            <family val="3"/>
          </rPr>
          <t>ドルストレートかクロス円の場合は100もしくは、エントリー時のドル円レート
外貨同士の場合は通貨ペア右側のレート円（エントリー時）
例）
EUR/USD→ドル円レート
EUR/CAD→カナダ円レート</t>
        </r>
      </text>
    </comment>
    <comment ref="I4" authorId="0">
      <text>
        <r>
          <rPr>
            <b/>
            <sz val="9"/>
            <rFont val="ＭＳ Ｐゴシック"/>
            <family val="3"/>
          </rPr>
          <t>MT4の時間？</t>
        </r>
      </text>
    </comment>
    <comment ref="K16" authorId="0">
      <text>
        <r>
          <rPr>
            <b/>
            <sz val="9"/>
            <rFont val="ＭＳ Ｐゴシック"/>
            <family val="3"/>
          </rPr>
          <t>yoko:2015/8/21 3:28</t>
        </r>
        <r>
          <rPr>
            <sz val="9"/>
            <rFont val="ＭＳ Ｐゴシック"/>
            <family val="3"/>
          </rPr>
          <t xml:space="preserve">
注文出したから寝る。夜中三時半orz</t>
        </r>
      </text>
    </comment>
  </commentList>
</comments>
</file>

<file path=xl/sharedStrings.xml><?xml version="1.0" encoding="utf-8"?>
<sst xmlns="http://schemas.openxmlformats.org/spreadsheetml/2006/main" count="537" uniqueCount="367">
  <si>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</si>
  <si>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</si>
  <si>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</si>
  <si>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</si>
  <si>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</si>
  <si>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</si>
  <si>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</si>
  <si>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</si>
  <si>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</si>
  <si>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</si>
  <si>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</si>
  <si>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</si>
  <si>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</si>
  <si>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</si>
  <si>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</si>
  <si>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</si>
  <si>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</si>
  <si>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</si>
  <si>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</si>
  <si>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※リスクリワードレシオ</t>
  </si>
  <si>
    <t>※プロフィットファクター</t>
  </si>
  <si>
    <t>通貨ペア</t>
  </si>
  <si>
    <t>売買</t>
  </si>
  <si>
    <t>結果</t>
  </si>
  <si>
    <t>利益pips</t>
  </si>
  <si>
    <t>損失pips</t>
  </si>
  <si>
    <t>金額　</t>
  </si>
  <si>
    <t>合計</t>
  </si>
  <si>
    <t>トレード詳細データ</t>
  </si>
  <si>
    <t>通貨ペア別エントリー回数</t>
  </si>
  <si>
    <t>Buy</t>
  </si>
  <si>
    <t>Sell</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</si>
  <si>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</si>
  <si>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</si>
  <si>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</si>
  <si>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</si>
  <si>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</si>
  <si>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</si>
  <si>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</si>
  <si>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</si>
  <si>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</si>
  <si>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</si>
  <si>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</si>
  <si>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最大連勝数</t>
  </si>
  <si>
    <t>最大連敗数</t>
  </si>
  <si>
    <t>最大DD(pips)</t>
  </si>
  <si>
    <t>エントリー手法別エントリー回数</t>
  </si>
  <si>
    <t>損益pips</t>
  </si>
  <si>
    <t>リベンジャーズ</t>
  </si>
  <si>
    <t>PAリベンジャーズ</t>
  </si>
  <si>
    <t>TJK</t>
  </si>
  <si>
    <t>HIS +1010</t>
  </si>
  <si>
    <t>RF +1010</t>
  </si>
  <si>
    <t>１．今、のあなたの現状を書いてください。</t>
  </si>
  <si>
    <t>（投資歴はどれくらいなのか、現状は勝てているのか負けているか？など）</t>
  </si>
  <si>
    <t>気づき：</t>
  </si>
  <si>
    <t>PB:</t>
  </si>
  <si>
    <t>USDJPY</t>
  </si>
  <si>
    <t>日足◎</t>
  </si>
  <si>
    <t>USDCHF</t>
  </si>
  <si>
    <t>フィボナッチトレード</t>
  </si>
  <si>
    <t>EURUSD</t>
  </si>
  <si>
    <t>ヘッドアンドショルダー</t>
  </si>
  <si>
    <t>GBPUSD</t>
  </si>
  <si>
    <t>1日</t>
  </si>
  <si>
    <t>240分足</t>
  </si>
  <si>
    <t>日足</t>
  </si>
  <si>
    <t>1日</t>
  </si>
  <si>
    <t>60分</t>
  </si>
  <si>
    <t>回
数</t>
  </si>
  <si>
    <t>ﾛｽｶｯﾄ%</t>
  </si>
  <si>
    <t>取引
単位</t>
  </si>
  <si>
    <t>決済</t>
  </si>
  <si>
    <t>日時</t>
  </si>
  <si>
    <t>価格</t>
  </si>
  <si>
    <t>手法</t>
  </si>
  <si>
    <t>エントリー</t>
  </si>
  <si>
    <t>手法・条件</t>
  </si>
  <si>
    <t>基本</t>
  </si>
  <si>
    <t>差額</t>
  </si>
  <si>
    <t>ﾛｽｶｯﾄ円</t>
  </si>
  <si>
    <t>損切</t>
  </si>
  <si>
    <t>ﾛｽｶｯﾄ
Pips</t>
  </si>
  <si>
    <t>買いの場合</t>
  </si>
  <si>
    <t>売りの場合</t>
  </si>
  <si>
    <t>ﾛｽｶｯﾄ位置設定</t>
  </si>
  <si>
    <t>エントリー基準となったPBの安値</t>
  </si>
  <si>
    <t>エントリー基準となったPBの高値</t>
  </si>
  <si>
    <t>検証ルール①</t>
  </si>
  <si>
    <t>検証ルール②</t>
  </si>
  <si>
    <t>買いのPBが出現して以降で、買いPBの高値＋1以上になった場合</t>
  </si>
  <si>
    <t>①の場合と</t>
  </si>
  <si>
    <t>売りのPBが出現して以降で、売りのPBの安値‐1以下になった場合</t>
  </si>
  <si>
    <t>エントリーから基準となったPBまでの間に生まれた安値</t>
  </si>
  <si>
    <t>エントリーから基準となったPBまでの間に生まれた高値</t>
  </si>
  <si>
    <t>MA線の上にできたPBが実体小さく、下に長いひげができている場合で、次のろうそく足がこの時の高値＋1を超えた時点で買いエントリー</t>
  </si>
  <si>
    <t>MA線の上にできたPBが実体小さく、上に長いひげができている場合で、次のろうそく足がこの時の安値を‐1を切った時点で売りエントリー</t>
  </si>
  <si>
    <t>決済条件</t>
  </si>
  <si>
    <t>1ピップ辺りの損益</t>
  </si>
  <si>
    <t>エントリー以前に反転したポイントに横線（ターゲット１）を引き、そのラインに達した時点で決済</t>
  </si>
  <si>
    <t>サポレジ線引くルール</t>
  </si>
  <si>
    <t>買い、売りの場合同様、直近での高値・安値が一つ目、さらにそこから二つ目の高値・安値が2つ目でひく</t>
  </si>
  <si>
    <t>ロット数
１万通貨</t>
  </si>
  <si>
    <t>数量
千通貨</t>
  </si>
  <si>
    <t>USD/CHF</t>
  </si>
  <si>
    <t>1H</t>
  </si>
  <si>
    <t>売</t>
  </si>
  <si>
    <t>仕掛け①　売りPB（陽線）</t>
  </si>
  <si>
    <t>１H</t>
  </si>
  <si>
    <t>1H</t>
  </si>
  <si>
    <t>ﾛｽｶｯﾄ</t>
  </si>
  <si>
    <t>見送り</t>
  </si>
  <si>
    <t>買</t>
  </si>
  <si>
    <t>仕掛け①　買いPB（陽線）元エントリー値91.726ー超えてたので成行注文</t>
  </si>
  <si>
    <t>仕掛け①　売りPB（陰線）元エントリー値1.10735ー超えてたので成行注文</t>
  </si>
  <si>
    <t>実損益</t>
  </si>
  <si>
    <t>ロット数計算間違い＋急激な下げのため損切</t>
  </si>
  <si>
    <t>資金（くらいでしてるつもり）</t>
  </si>
  <si>
    <t>EUR/USD</t>
  </si>
  <si>
    <t>仕掛け①　売りPB</t>
  </si>
  <si>
    <t>仕掛け①</t>
  </si>
  <si>
    <t>仕掛け①　売りPB（陰線）</t>
  </si>
  <si>
    <t>GBP/USD</t>
  </si>
  <si>
    <t>仕掛け①　売りPB（陰線）リトライ</t>
  </si>
  <si>
    <t>ロット数計算忘れてそのままいっちゃった。</t>
  </si>
  <si>
    <t>トレーリングストップ</t>
  </si>
  <si>
    <t>ﾛｽｶｯﾄ。建値移動しそこねた。</t>
  </si>
  <si>
    <t>ﾛｽｶｯﾄ。建値移動できた</t>
  </si>
  <si>
    <t>仕掛け①　買いPB（陽線）</t>
  </si>
  <si>
    <t>NZD/JPY</t>
  </si>
  <si>
    <t>2015/8/20  9:00:00PB</t>
  </si>
  <si>
    <t>安値下回りで見送り</t>
  </si>
  <si>
    <t>ﾛｽｶｯﾄ建値決済</t>
  </si>
  <si>
    <t>建値決済でおわり。次PB出たらエントリかな？</t>
  </si>
  <si>
    <t>EUD/USD</t>
  </si>
  <si>
    <t>AUD/JPY</t>
  </si>
  <si>
    <t>EUR/JPY</t>
  </si>
  <si>
    <r>
      <t>1</t>
    </r>
    <r>
      <rPr>
        <sz val="11"/>
        <color indexed="8"/>
        <rFont val="ＭＳ Ｐゴシック"/>
        <family val="3"/>
      </rPr>
      <t>H</t>
    </r>
  </si>
  <si>
    <t>トレンドライン＆SRブレイク（M15売りPBあり）</t>
  </si>
  <si>
    <t>高値更新で見送り</t>
  </si>
  <si>
    <t>2015/8/21　日本朝</t>
  </si>
  <si>
    <t>USD/CAD</t>
  </si>
  <si>
    <t>仕掛け① 買いPB（陽線） ２０MA終値</t>
  </si>
  <si>
    <t>安値更新で見送り</t>
  </si>
  <si>
    <t>2015/8/21　日本昼12時半</t>
  </si>
  <si>
    <t>GBP/USD</t>
  </si>
  <si>
    <r>
      <t>1</t>
    </r>
    <r>
      <rPr>
        <sz val="11"/>
        <color indexed="8"/>
        <rFont val="ＭＳ Ｐゴシック"/>
        <family val="3"/>
      </rPr>
      <t>H</t>
    </r>
  </si>
  <si>
    <t>仕掛け①　買いPB（陰線）直前で買いEB(誤差-1で成立とは言えないけど）が出てる。流れはUPレジスタンスを超えられれば短いけど1.56947以上を目標に上がると予想</t>
  </si>
  <si>
    <t>ターゲットライン到達</t>
  </si>
  <si>
    <t>トレンド見て、幅少なかったけど、ターゲットも引いて、PBにEBが出たのでトレードしたけど、読み通りになったので、良かった。ターゲットを設定してなかったらどうなってたんだろう？</t>
  </si>
  <si>
    <t>仕掛け②　売りPB（陽陰）直前レジスタンス抜けたらトレンドラインまで落ちてくる予想　アップトレンド中の調整エントリ</t>
  </si>
  <si>
    <t>売りEBみて、前のトレードでレジスタンスにあたっての戻し。勢いよく下落して、ちょっと上がって売りEB形成してた。実はその前の安値を割ればと思ってもいたけど、トレンドラインとの差を考えるとリスクありきで飛び込んだが、下がって上がって調整がすでに終了した後だったらしい感満載。でも、エントリー値をちゃんと書いたのに、それよりも上でエントリーされてたのはなんでだったんだろう？これからはエントリーから決済までの画像が必要かなぁ・・・？検証途中だからまだデモでは早かったのかも。</t>
  </si>
  <si>
    <t>AUD/NZD</t>
  </si>
  <si>
    <t>仕掛け①　買いPB（陽線）1.10812</t>
  </si>
  <si>
    <t>上昇を予測して、PBでエントリーしてみたものの、日足４HでUPトレンドを確認したがUPトレンドから下落に進んだ。ペナントだったってことっぽい。結局下落してﾛｽｶｯﾄ。</t>
  </si>
  <si>
    <t>NZD/USD</t>
  </si>
  <si>
    <t>ダウ理論（直近高値を超えて安値が切りあがってきてるの）</t>
  </si>
  <si>
    <r>
      <t>1</t>
    </r>
    <r>
      <rPr>
        <sz val="11"/>
        <color indexed="8"/>
        <rFont val="ＭＳ Ｐゴシック"/>
        <family val="3"/>
      </rPr>
      <t>H</t>
    </r>
  </si>
  <si>
    <t>USD/CHF</t>
  </si>
  <si>
    <t>ダウ理論（直近高値超えて安値切りあがってきてるので）</t>
  </si>
  <si>
    <t>EUR/CAD</t>
  </si>
  <si>
    <r>
      <t>1</t>
    </r>
    <r>
      <rPr>
        <sz val="11"/>
        <color indexed="8"/>
        <rFont val="ＭＳ Ｐゴシック"/>
        <family val="3"/>
      </rPr>
      <t>H</t>
    </r>
  </si>
  <si>
    <t>建値決済</t>
  </si>
  <si>
    <t>GBP/AUD</t>
  </si>
  <si>
    <r>
      <t>1</t>
    </r>
    <r>
      <rPr>
        <sz val="11"/>
        <color indexed="8"/>
        <rFont val="ＭＳ Ｐゴシック"/>
        <family val="3"/>
      </rPr>
      <t>H</t>
    </r>
  </si>
  <si>
    <r>
      <t>1</t>
    </r>
    <r>
      <rPr>
        <sz val="11"/>
        <color indexed="8"/>
        <rFont val="ＭＳ Ｐゴシック"/>
        <family val="3"/>
      </rPr>
      <t>H</t>
    </r>
  </si>
  <si>
    <t>ストップ位置に引っかかてﾛｽｶｯﾄ決済</t>
  </si>
  <si>
    <t>ストップ移動先でﾛｽｶｯﾄ（スプレッド拡大30pips？？）</t>
  </si>
  <si>
    <t>朝10時半くらいにスプレッド拡大？？で突如ひげも触れてないのに30pips強のプラスでﾛｽｶｯﾄ。こういう時どうしたらいいんだろ？</t>
  </si>
  <si>
    <t>下のもそうだけど朝6時半くらいまで粘ったけど大きな変動ってわけじゃなかった。EB再登場したところにストップ位置を移動させたけど、ターゲットラインまで到達せず。MA線に触り始めたから下がる手前の上がりだったのかな？その前の安値と直近の安値の位置がほとんど変わってないところが気になる・・・</t>
  </si>
  <si>
    <t>USD/CHF</t>
  </si>
  <si>
    <t>仕掛け②　サポレジを引いたときにぶら下がる売PBとサポレジから上昇できずに下落値はじめていたので、エントリー。トレンドラインと下サポレジの接触点をターゲットとする</t>
  </si>
  <si>
    <t>最後の一戻りで上昇に抜けると予測（トレンドライン3点目を抜けなかったので4点目で抜けるその間まで）ターゲットは前回安値</t>
  </si>
  <si>
    <t>2015/8/28　９；２６</t>
  </si>
  <si>
    <t>エントリした次の時間軸でﾛｽｶｯﾄまでされたけど、そのあとしっかり下落の方向へ行ってる。　これなんかやだなぁ。下落前に一回戻されて切られるの辛い。</t>
  </si>
  <si>
    <t>仕掛け①　山二つ</t>
  </si>
  <si>
    <t>AUD/CHF</t>
  </si>
  <si>
    <t>仕掛け①　トレンドライン下回り　サポレジ抜けてない・・・</t>
  </si>
  <si>
    <t>GBP/NZD</t>
  </si>
  <si>
    <t>仕掛け①　MA10接触　レンジっぽいところを少し抜けたところぽい。</t>
  </si>
  <si>
    <t>ﾛｽｶｯﾄ（トレーリング）</t>
  </si>
  <si>
    <t>途中で売りサインが見えたので下落に転じた。けど、この時決済すべきだったのかわからずそのままでﾛｽｶｯﾄ</t>
  </si>
  <si>
    <t>見送りぽいなぁ。</t>
  </si>
  <si>
    <t>途中で上昇トレンドに。</t>
  </si>
  <si>
    <t>USD/JPY</t>
  </si>
  <si>
    <t>トレード履歴　2015年8月分</t>
  </si>
  <si>
    <t>No.2</t>
  </si>
  <si>
    <t>負けPips</t>
  </si>
  <si>
    <t>No.１６</t>
  </si>
  <si>
    <t>No.19</t>
  </si>
  <si>
    <t>No.20</t>
  </si>
  <si>
    <t>仕掛け①　ダウントレンドができてきてる。ダイバージェンス？も出始めてる。トレンドライン割った。高値更新せず</t>
  </si>
  <si>
    <t>No.26</t>
  </si>
  <si>
    <t>チャットワークで聞いてみた。</t>
  </si>
  <si>
    <t>スプレッド拡大でﾛｽｶｯﾄに入る可能性がある</t>
  </si>
  <si>
    <t>が・・・30pips近いスプレッド拡大って、あり？</t>
  </si>
  <si>
    <t>通貨ペアが外貨同士である場合は、対象の通貨のレートを知らないといけなくって</t>
  </si>
  <si>
    <t>・チャートが動く</t>
  </si>
  <si>
    <t>・操作に慣れない</t>
  </si>
  <si>
    <t>いつも動いてないから、動くもの見ると動いてるのが気になって、みてるうちにあれよあれよあれよ・・・。</t>
  </si>
  <si>
    <t>じゃぁ、注文してみようってしたら何をどこにどうすればいいのかが怪しくなって</t>
  </si>
  <si>
    <t>調べてるうちに後ろであれよあれよあれよと動かれ・・・・</t>
  </si>
  <si>
    <t>注文できるようになるころには　limit　と　stop　を交互にクリックする始末。</t>
  </si>
  <si>
    <t>じゃぁ、時間足を大きくしてみたらいいのか！と思って、日足に行くと</t>
  </si>
  <si>
    <t>ロット計算間違えて（仮定資金から計算したら０なのに）デモの口座残高だから入って</t>
  </si>
  <si>
    <t>気づいたときにはマイナス3000円を超えて4000円近くで計算間違ってたことに気づいて損切決済。</t>
  </si>
  <si>
    <t>日足のストップの大きさと仮定資金から　日足はエントリできないことがわかって</t>
  </si>
  <si>
    <t>デモトレ当初</t>
  </si>
  <si>
    <t>でも、エントリするときに損切までの幅Pipsが出せるなら、感覚でこのくらいを身に着けるほうがいいなと</t>
  </si>
  <si>
    <t>計算ダメなら、あえて計算するよりも表で覚えてざっくりいくのも手かもしれない。</t>
  </si>
  <si>
    <t>1pip超えたらor割ったらを間違えて0.1pipにしてたことに気づいたときは、価格入力後に価格より手前でエントリーされてることに気づいたとき。</t>
  </si>
  <si>
    <t>注文数：２５</t>
  </si>
  <si>
    <t>勝ち：７</t>
  </si>
  <si>
    <t>負け：１１</t>
  </si>
  <si>
    <t>最初のうちはいくつか見送った気がする。</t>
  </si>
  <si>
    <t>ただ、見てる通貨が少ないとエントリチャンスがない。　→通貨ペアを増やした。(20個くらい）</t>
  </si>
  <si>
    <t>というか、日足はストップ幅がでっかすぎて怖いと思って４Hか１Hに絞り始める。</t>
  </si>
  <si>
    <t>日足の大幅損失の理由はロット数の計算がちゃんとできてないことが原因だったので、</t>
  </si>
  <si>
    <t>なるだけ早く計算できるように、計算方法とかアプリを入れてみたりしたけど</t>
  </si>
  <si>
    <t>それを見つけてるうちにあれよあれよ・・・　そういう操作をするのも慣れが必要なのか、でもないほうが早いことを実感。（携帯ないとできないのは話にならんかなと）</t>
  </si>
  <si>
    <t>じゃぁ、頭で計算・・・資金から損失引いた2%のﾛｽｶｯﾄ金額で計算するけど、どんどん細かくなるので頭の中で計算するのはちっとも計算できず。</t>
  </si>
  <si>
    <t>1pipを怪しく思うなら、2か３pip超えたら・・・にする、最近は2pip超えたらor割ったら。慣れたら1Pipに戻す。</t>
  </si>
  <si>
    <t>引分：１</t>
  </si>
  <si>
    <t>←建値決済でスプレッド分マイナスになった1回含む</t>
  </si>
  <si>
    <t>建値：３</t>
  </si>
  <si>
    <t>←これができてるのとできてなかったのとでは大きい気がする。</t>
  </si>
  <si>
    <t>確証があるエントリってのが多分まだわからないのかも・・・しれない。</t>
  </si>
  <si>
    <t>8月分デモ</t>
  </si>
  <si>
    <t>週末をまたいだトレードはまだしたことがない。</t>
  </si>
  <si>
    <t>ちょっとずつダウもわかってきたような気もするので、レンジ相場かも・・？で幅が狭いのであれば</t>
  </si>
  <si>
    <t>PBが出ていてもエントリしない。</t>
  </si>
  <si>
    <t>日足４H１Hでトレンドの方向が同じである場合は、エントリ</t>
  </si>
  <si>
    <t>日足４H１Hでトレンドの方向がちぐはぐである場合は、短期的なところに入ったとみてトレードを検討するようになった。</t>
  </si>
  <si>
    <t>あとMACDもたまに見るようになった。　まだダイバージェンスじゃなくて、どのくらいの勢いで買われたり売られたりしてるのかな？と。</t>
  </si>
  <si>
    <t>ダウントレンド中の上昇で、MACDが0より下の位置から変わらないなら、ダウントレンド継続</t>
  </si>
  <si>
    <t>ダウントレンド中の上昇でMACDが0に近づいてるならアップトレンドに変わる兆候</t>
  </si>
  <si>
    <t>ダウントレンド中の下落でMACDが上昇してる＝ 矛盾　＝反転に変わる兆候　←これがダイバージェンス</t>
  </si>
  <si>
    <t>仕掛け①に使われてるだけであって、正直あんまり見てない。　使えるようになるともう少し何かわかるんだろうか・・・？</t>
  </si>
  <si>
    <t>サポレジはトレンドラインはよく引っ張って使い始めたけどMA線がわかんない。　</t>
  </si>
  <si>
    <t>で、頭とっ散らかる。。</t>
  </si>
  <si>
    <t>しすてむとれーど・・・　</t>
  </si>
  <si>
    <t>とりあえず、トレンドに逆行しないようにする。反転狙いたくもあるけど、でも一回待つこと。</t>
  </si>
  <si>
    <t>240分足◎</t>
  </si>
  <si>
    <t>60分足◎</t>
  </si>
  <si>
    <t>EB</t>
  </si>
  <si>
    <t>USDJPY</t>
  </si>
  <si>
    <t>日足◎</t>
  </si>
  <si>
    <t>240分足</t>
  </si>
  <si>
    <t>60分足</t>
  </si>
  <si>
    <t>途中決済</t>
  </si>
  <si>
    <t>下落予想の中ででたPBで売り。120円台で戻ったりし始めたので、一時的な上昇になり始めた雰囲気が出たのでいったん決済。</t>
  </si>
  <si>
    <t>GBP/USD</t>
  </si>
  <si>
    <t>仕掛け①　MACD勢い減少　短期的な上昇見込。分割決済ってできるかな？？</t>
  </si>
  <si>
    <t>気が早すぎたのか・・・な。</t>
  </si>
  <si>
    <t>EUR/CHF</t>
  </si>
  <si>
    <t>売りPBを山のてっぺんでダウでエントリ</t>
  </si>
  <si>
    <t>エントリは行ってから少し下がったものの、ターゲットまで下がらず上昇してトレンドラインブレイク。</t>
  </si>
  <si>
    <t>FIB　成り行き　トレンド初期　上昇強かったので乗ってみる　ストップ幅デカい・・・（注文焦ったかな。。）</t>
  </si>
  <si>
    <t>仕掛け①　1h三角持合い、FIBトレンド初期　5分で仕掛け① すでに上昇してるのでダウでエントリ</t>
  </si>
  <si>
    <t>仕掛け①　FIB　トレンド初期　23.6　</t>
  </si>
  <si>
    <t>20pips以上上がったけど、寝る前に建値移動したｽﾄｯﾌﾟに引っかかっておわり。</t>
  </si>
  <si>
    <t>20pips以上上がったけど、寝る前に建値移動したｽﾄｯﾌﾟに引っかかっておわり。実際は今も上に行けずもみあい中。　要様子見</t>
  </si>
  <si>
    <t>仕掛け②　買いEB　成り行き</t>
  </si>
  <si>
    <t>USD/CAD</t>
  </si>
  <si>
    <t>仕掛け①　レンジ内上部　 トレンドライン抜け戻りでそのまま下落？　エントリをもみ合ってるライン-1pipで設定</t>
  </si>
  <si>
    <t>2015年　　合計</t>
  </si>
  <si>
    <t>通貨別成績表</t>
  </si>
  <si>
    <t>USD/JPY</t>
  </si>
  <si>
    <t>EUR/USD</t>
  </si>
  <si>
    <t>AUD/JPY</t>
  </si>
  <si>
    <t>CAD/JPY</t>
  </si>
  <si>
    <t>GBP/JPY</t>
  </si>
  <si>
    <t>USD/CHF</t>
  </si>
  <si>
    <t>GBP/USD</t>
  </si>
  <si>
    <t>AUD/USD</t>
  </si>
  <si>
    <t>EUR/CHF</t>
  </si>
  <si>
    <t>EUR/GBP</t>
  </si>
  <si>
    <t>EUR/JPY</t>
  </si>
  <si>
    <t>EUR/CAD</t>
  </si>
  <si>
    <t>EUR/AUD</t>
  </si>
  <si>
    <t>GBP/CHF</t>
  </si>
  <si>
    <t>CHF/JPY</t>
  </si>
  <si>
    <t>AUD/NZD</t>
  </si>
  <si>
    <t>CAD/CHF</t>
  </si>
  <si>
    <t>GBP/CAD</t>
  </si>
  <si>
    <t>GBP/NZD</t>
  </si>
  <si>
    <t>NZD/CHF</t>
  </si>
  <si>
    <t>NZD/JPY</t>
  </si>
  <si>
    <t>NZD/USD</t>
  </si>
  <si>
    <t>AUD/CAD</t>
  </si>
  <si>
    <t>EUR/NZD</t>
  </si>
  <si>
    <t>NZD/CAD</t>
  </si>
  <si>
    <t>勝ち</t>
  </si>
  <si>
    <t>負け</t>
  </si>
  <si>
    <t>引分</t>
  </si>
  <si>
    <t>損失合計</t>
  </si>
  <si>
    <t>利益合計</t>
  </si>
  <si>
    <t>損益</t>
  </si>
  <si>
    <t>勝率</t>
  </si>
  <si>
    <t>合計</t>
  </si>
  <si>
    <t>トレード回数(未エントリ含む）</t>
  </si>
  <si>
    <t>通貨ペア</t>
  </si>
  <si>
    <t>全通貨ペア平均</t>
  </si>
  <si>
    <t>トレード時勝率</t>
  </si>
  <si>
    <t>わーい☆読み通りでめちゃうれしー♪(≧▽≦)　もうちょっとのびたのかな？そのあたりの判断できなかったけど</t>
  </si>
  <si>
    <t>EB＋PB　サポレジ売りPBで次が売りEB　短い時間足まで落としてみても小さなダウントレンドが続いて、PBEB両方出てるし、大きな足はダウントレンドが強い。</t>
  </si>
  <si>
    <t>途中決済（ダブルトップ作りそうだったので撤退）</t>
  </si>
  <si>
    <t>ダブルトップ作りかけ（右山できかけ）だったので、一時撤退。入り直し検討する方向で。</t>
  </si>
  <si>
    <t>ﾛｽｶｯﾄ（トレーリング）</t>
  </si>
  <si>
    <t>ストップ移動あと2個くらいできてた気もするけど、せずで終了。うーん。もっと取れてたのにもったいなかった。</t>
  </si>
  <si>
    <t>もっと上手にトレーリングできたらいいのになぁ。</t>
  </si>
  <si>
    <t>EUR/CAD</t>
  </si>
  <si>
    <t>EUR/AUD</t>
  </si>
  <si>
    <t>１Hで下落中トレンドラインブレイク、ユーロカナダとそっくりな形。M15ちょっと戻ったところでEB　</t>
  </si>
  <si>
    <t>オージー円め。。</t>
  </si>
  <si>
    <t>１H・M15</t>
  </si>
  <si>
    <t>1H・M15</t>
  </si>
  <si>
    <t>日足Wtop右山頂上からの下落 1h幅広いレンジ</t>
  </si>
  <si>
    <t>M15PB　上昇しきったところで三角持合い（日足）ブレイクしてたポイので下落方向へ動いてるので乗ってみる　ストップ幅デカいので1.48184からM15のEBに移動　←１HでもEBになった</t>
  </si>
  <si>
    <t>１Hでも売りEBになってたけど、すぱーんとﾛｽｶｯﾄ。一気に上昇。なんか、戻りが勢い良すぎる気も</t>
  </si>
  <si>
    <t>こっちも上昇・ユーロカナダと同じパターン。資源国共通なにか？</t>
  </si>
  <si>
    <t>オージーなんかあった感じ。ユーロも同じ結果。</t>
  </si>
  <si>
    <t>ADU/USD</t>
  </si>
  <si>
    <t>1H</t>
  </si>
  <si>
    <t>１Hダウ　上昇方向とみてエントリ</t>
  </si>
  <si>
    <t>仕事終わって家帰ってきたらﾛｽｶｯﾄされてた。仕事はじめて1時間後に終わってたらしい。。</t>
  </si>
  <si>
    <t>8月</t>
  </si>
  <si>
    <t>9月2週目</t>
  </si>
  <si>
    <t>9月1週目</t>
  </si>
  <si>
    <t>8月の負けが尾を引いてるのかマイナスの大きさで検証に戻ろうとデモを遠ざけたので2回だけのトレードで終わる。</t>
  </si>
  <si>
    <t>両方とも負けて、うーん。</t>
  </si>
  <si>
    <t>とっ散らかる頭の何が原因なのか？の根底が「自信のなさ」からきていることに気づいた。</t>
  </si>
  <si>
    <t>根崎せんせのメールでﾃﾞﾓで負けてるの読んで、webセミナーで言ってた「1通貨ごとで見れば」で</t>
  </si>
  <si>
    <t>勝敗を出してみることにした。</t>
  </si>
  <si>
    <t>勝っているときの方が負けているときよりも大きく稼いでることに気づいたのはおっきかった。</t>
  </si>
  <si>
    <t>ロット数計算間違えたり、大きくマイナスがあったけど、実際はちゃんとポジションサイジングができてたんだなって思う。</t>
  </si>
  <si>
    <t>2週目は心入れ替えてデモ頑張ろう。</t>
  </si>
  <si>
    <t>ちゃんと数字で見たら30％くらいの勝率でも利益はちゃんと上がってるんだって思った。</t>
  </si>
  <si>
    <t>数字で見る癖がとっても大切！</t>
  </si>
  <si>
    <t>心入れ替えてトレードしてみる。（水曜日までしかできなかったけど）</t>
  </si>
  <si>
    <t>1週目で少しFIBのトレード検証をしてて、もやもやしてたものがちょこっとずつ晴れてきたぽい。</t>
  </si>
  <si>
    <t>PBやEBでエントリするけど、PBやEBを探してるときはそのキャンドル単体しか見れてなくて</t>
  </si>
  <si>
    <t>トレンドの方向性とか大きな流れも見ていたつもりになってたらしい。</t>
  </si>
  <si>
    <t>FIBの検証で気づいたことは、PBやEBの点じゃなくてもっと広い線みたいなので捉えること。</t>
  </si>
  <si>
    <t>トレンドのあるところで使うこと＝波の状態を知ること</t>
  </si>
  <si>
    <t>そしたら、なんとなくレンジ相場が見えてきたり、チャートパターンが見えてきたりして</t>
  </si>
  <si>
    <t>よくわかんないときはもっと短い時間足を見に行って詳細を見に行ってなんとなーく</t>
  </si>
  <si>
    <t>この辺でPBでるとか、EBがでるのかなー？って思ったところらへん（といっても短い時間足）で出てたり</t>
  </si>
  <si>
    <t>1時間メインで見てるけど、1時間足でも出るのがちょっとずつわかってきたような。</t>
  </si>
  <si>
    <t>まだまだあいまいだけど、ちょっとずつPBとかEBとかFIBとかチャートパターンとかサポレジとか</t>
  </si>
  <si>
    <t>ツールみたいに使えるようになってきて、目がもっとチャートパターンに見慣れてきたり</t>
  </si>
  <si>
    <t>通貨の癖みたいなのが見えてきたらもっとよくなるのかな？と思った。</t>
  </si>
  <si>
    <t>あ、でも疲れてたり集中できないときとかはトレードしちゃダメ。</t>
  </si>
  <si>
    <t>最後3連続負けは寝不足＋疲労＋集中できずで悪い結果に(。ﾉﾉ)</t>
  </si>
  <si>
    <t>ものさしで計ったことないくせに、手尺で訳も分からず計ろうとしてた感じだったんだろうな。</t>
  </si>
  <si>
    <t>人に説明できるほどちゃんとしたものじゃないし、とっ散らかってるといえばとっ散らかってるけど・・・前の散らかり具合よりは落ち着いたかも。</t>
  </si>
  <si>
    <t>サーフィンしたことないけど、サーフィンみたいな感じで波に乗る感覚と似てるのかな？って思った。</t>
  </si>
  <si>
    <t>今週のトレード良かったなーと思ったらFIBのトレードがやっぱり功を奏したんだなと思う。</t>
  </si>
  <si>
    <t>そら、計ってる気になってただけで、わかんないのは当然なのかも。</t>
  </si>
  <si>
    <t>自分のコンディションで見方が雑くなって、こんなに左右されるものでもあるのかーって思い知った。</t>
  </si>
  <si>
    <t>最近は右側のキャンドルが左側のキャンドルよりも上も下も短いと三角持合いみたいに見えて、興味津々。</t>
  </si>
  <si>
    <t>でも、ちょびっとだけだけど、プラスになってるからうれしい(///ω///)</t>
  </si>
  <si>
    <t>100円だけど、トータルでリカバリーで来てるわけじゃないけど、これがちょっとずつちりも積もらせていきたいなー。</t>
  </si>
  <si>
    <t>トータルで見たら負けが出てるけど、一通貨ごとに見たら複数回の負けが1回の勝ちくらいの金額になってた。</t>
  </si>
  <si>
    <t>検証の時は勝ててるって感じだったから、気づかなかったけど一回のプラスがおっきいことを再認識した？のかな・</t>
  </si>
  <si>
    <t>注文時
円レート</t>
  </si>
  <si>
    <t>時
間
足</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</si>
</sst>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quot;Yes&quot;;&quot;Yes&quot;;&quot;No&quot;"/>
    <numFmt numFmtId="190" formatCode="&quot;True&quot;;&quot;True&quot;;&quot;False&quot;"/>
    <numFmt numFmtId="191" formatCode="&quot;On&quot;;&quot;On&quot;;&quot;Off&quot;"/>
    <numFmt numFmtId="192" formatCode="[$€-2]\ #,##0.00_);[Red]\([$€-2]\ #,##0.00\)"/>
    <numFmt numFmtId="193" formatCode="#,##0_ "/>
    <numFmt numFmtId="194" formatCode="0_ "/>
    <numFmt numFmtId="195" formatCode="[$-F400]h:mm:ss\ hh:mm"/>
    <numFmt numFmtId="196" formatCode="yyyy/m/dd\ hh:mm"/>
    <numFmt numFmtId="197" formatCode="yyyy/m/d\ h:mm;@"/>
    <numFmt numFmtId="198" formatCode="0.00000_ "/>
    <numFmt numFmtId="199" formatCode="&quot;-&quot;General"/>
    <numFmt numFmtId="200" formatCode="0.000000_ "/>
  </numFmts>
  <fonts count="51">
    <font>
      <sz val="11"/>
      <color indexed="8"/>
      <name val="ＭＳ Ｐゴシック"/>
      <family val="3"/>
    </font>
    <font>
      <sz val="11"/>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b/>
      <sz val="12"/>
      <color indexed="8"/>
      <name val="ＭＳ Ｐゴシック"/>
      <family val="3"/>
    </font>
    <font>
      <sz val="12"/>
      <color indexed="8"/>
      <name val="ＭＳ Ｐゴシック"/>
      <family val="3"/>
    </font>
    <font>
      <sz val="12"/>
      <name val="MS PGothic"/>
      <family val="3"/>
    </font>
    <font>
      <sz val="9"/>
      <name val="ＭＳ Ｐゴシック"/>
      <family val="3"/>
    </font>
    <font>
      <b/>
      <sz val="12"/>
      <name val="ＭＳ Ｐゴシック"/>
      <family val="3"/>
    </font>
    <font>
      <sz val="12"/>
      <name val="ＭＳ Ｐゴシック"/>
      <family val="3"/>
    </font>
    <font>
      <sz val="6"/>
      <name val="ＭＳ Ｐゴシック"/>
      <family val="3"/>
    </font>
    <font>
      <b/>
      <sz val="9"/>
      <name val="ＭＳ Ｐゴシック"/>
      <family val="3"/>
    </font>
    <font>
      <sz val="10"/>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rgb="FFFFCCFF"/>
        <bgColor indexed="64"/>
      </patternFill>
    </fill>
    <fill>
      <patternFill patternType="solid">
        <fgColor rgb="FF3366CC"/>
        <bgColor indexed="64"/>
      </patternFill>
    </fill>
    <fill>
      <patternFill patternType="solid">
        <fgColor rgb="FF99FF99"/>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style="mediu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medium"/>
      <right style="thin"/>
      <top>
        <color indexed="63"/>
      </top>
      <bottom style="mediu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ouble">
        <color indexed="60"/>
      </bottom>
    </border>
    <border>
      <left>
        <color indexed="63"/>
      </left>
      <right style="dotted"/>
      <top style="medium"/>
      <bottom>
        <color indexed="63"/>
      </bottom>
    </border>
    <border>
      <left style="dotted"/>
      <right style="dotted"/>
      <top style="medium"/>
      <bottom>
        <color indexed="63"/>
      </bottom>
    </border>
    <border>
      <left style="dotted"/>
      <right style="medium"/>
      <top style="medium"/>
      <bottom>
        <color indexed="63"/>
      </bottom>
    </border>
    <border>
      <left>
        <color indexed="63"/>
      </left>
      <right style="thin"/>
      <top style="medium"/>
      <bottom style="medium"/>
    </border>
    <border>
      <left style="dotted"/>
      <right>
        <color indexed="63"/>
      </right>
      <top style="medium"/>
      <bottom>
        <color indexed="63"/>
      </bottom>
    </border>
    <border>
      <left style="thin"/>
      <right style="dashed"/>
      <top style="thin"/>
      <bottom style="thin"/>
    </border>
    <border>
      <left style="dashed"/>
      <right style="dashed"/>
      <top style="thin"/>
      <bottom style="thin"/>
    </border>
    <border>
      <left>
        <color indexed="63"/>
      </left>
      <right style="thin"/>
      <top style="thin"/>
      <bottom style="thin"/>
    </border>
    <border>
      <left style="thin"/>
      <right style="dashed"/>
      <top style="thin"/>
      <bottom style="double">
        <color indexed="60"/>
      </bottom>
    </border>
    <border>
      <left style="dashed"/>
      <right style="dashed"/>
      <top style="thin"/>
      <bottom style="double">
        <color indexed="60"/>
      </bottom>
    </border>
    <border>
      <left>
        <color indexed="63"/>
      </left>
      <right style="thin"/>
      <top style="thin"/>
      <bottom style="double">
        <color indexed="60"/>
      </bottom>
    </border>
    <border>
      <left style="thin"/>
      <right style="dashed"/>
      <top>
        <color indexed="63"/>
      </top>
      <bottom style="thin"/>
    </border>
    <border>
      <left style="dashed"/>
      <right style="dashed"/>
      <top>
        <color indexed="63"/>
      </top>
      <bottom style="thin"/>
    </border>
    <border>
      <left style="dashed"/>
      <right style="dashed"/>
      <top style="double">
        <color indexed="60"/>
      </top>
      <bottom style="thin"/>
    </border>
    <border>
      <left style="dashed"/>
      <right style="thin"/>
      <top style="double">
        <color indexed="60"/>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medium"/>
    </border>
    <border>
      <left style="medium"/>
      <right style="thin"/>
      <top style="medium"/>
      <bottom style="thin"/>
    </border>
    <border>
      <left>
        <color indexed="63"/>
      </left>
      <right>
        <color indexed="63"/>
      </right>
      <top style="thin"/>
      <bottom style="thin"/>
    </border>
    <border>
      <left style="thin"/>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color indexed="60"/>
      </left>
      <right style="medium">
        <color indexed="60"/>
      </right>
      <top style="medium">
        <color indexed="60"/>
      </top>
      <bottom style="medium">
        <color indexed="60"/>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hair"/>
    </border>
    <border>
      <left style="thin"/>
      <right style="thin"/>
      <top>
        <color indexed="63"/>
      </top>
      <bottom style="hair"/>
    </border>
    <border>
      <left>
        <color indexed="63"/>
      </left>
      <right style="thin"/>
      <top style="hair"/>
      <bottom style="hair"/>
    </border>
    <border>
      <left style="thin"/>
      <right style="thin"/>
      <top style="hair"/>
      <bottom style="hair"/>
    </border>
    <border>
      <left style="thin"/>
      <right>
        <color indexed="63"/>
      </right>
      <top style="hair"/>
      <bottom style="hair"/>
    </border>
    <border>
      <left>
        <color indexed="63"/>
      </left>
      <right style="thin"/>
      <top style="hair"/>
      <bottom style="thin"/>
    </border>
    <border>
      <left style="thin"/>
      <right style="thin"/>
      <top style="hair"/>
      <bottom style="thin"/>
    </border>
    <border>
      <left style="thin"/>
      <right>
        <color indexed="63"/>
      </right>
      <top style="hair"/>
      <bottom style="thin"/>
    </border>
    <border>
      <left style="thin"/>
      <right>
        <color indexed="63"/>
      </right>
      <top>
        <color indexed="63"/>
      </top>
      <bottom style="hair"/>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194">
    <xf numFmtId="0" fontId="0" fillId="0" borderId="0" xfId="0" applyAlignment="1">
      <alignment vertical="center"/>
    </xf>
    <xf numFmtId="0" fontId="0" fillId="0" borderId="1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0" fillId="0" borderId="13" xfId="0" applyNumberFormat="1" applyFont="1" applyFill="1" applyBorder="1" applyAlignment="1" applyProtection="1">
      <alignment vertical="center"/>
      <protection/>
    </xf>
    <xf numFmtId="0" fontId="0" fillId="0" borderId="14" xfId="0" applyNumberFormat="1" applyFont="1" applyFill="1" applyBorder="1" applyAlignment="1" applyProtection="1">
      <alignment vertical="center"/>
      <protection/>
    </xf>
    <xf numFmtId="9" fontId="0" fillId="0" borderId="15" xfId="0" applyNumberFormat="1" applyFont="1" applyFill="1" applyBorder="1" applyAlignment="1" applyProtection="1">
      <alignment vertical="center"/>
      <protection/>
    </xf>
    <xf numFmtId="0" fontId="0" fillId="0" borderId="16" xfId="0" applyNumberFormat="1" applyFont="1" applyFill="1" applyBorder="1" applyAlignment="1" applyProtection="1">
      <alignment vertical="center"/>
      <protection/>
    </xf>
    <xf numFmtId="0" fontId="0" fillId="0" borderId="17" xfId="0" applyNumberFormat="1" applyFont="1" applyFill="1" applyBorder="1" applyAlignment="1" applyProtection="1">
      <alignment vertical="center"/>
      <protection/>
    </xf>
    <xf numFmtId="180" fontId="0" fillId="0" borderId="10" xfId="0" applyNumberFormat="1" applyFont="1" applyFill="1" applyBorder="1" applyAlignment="1" applyProtection="1">
      <alignment vertical="center"/>
      <protection/>
    </xf>
    <xf numFmtId="181" fontId="0" fillId="0" borderId="10" xfId="0" applyNumberFormat="1" applyFont="1" applyFill="1" applyBorder="1" applyAlignment="1" applyProtection="1">
      <alignment vertical="center"/>
      <protection/>
    </xf>
    <xf numFmtId="0" fontId="0" fillId="0" borderId="18"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4" fillId="33" borderId="28" xfId="0" applyNumberFormat="1" applyFont="1" applyFill="1" applyBorder="1" applyAlignment="1" applyProtection="1">
      <alignment horizontal="center" vertical="center"/>
      <protection/>
    </xf>
    <xf numFmtId="0" fontId="4" fillId="33" borderId="29" xfId="0" applyNumberFormat="1" applyFont="1" applyFill="1" applyBorder="1" applyAlignment="1" applyProtection="1">
      <alignment horizontal="center" vertical="center"/>
      <protection/>
    </xf>
    <xf numFmtId="0" fontId="4" fillId="33" borderId="30" xfId="0" applyNumberFormat="1" applyFont="1" applyFill="1" applyBorder="1" applyAlignment="1" applyProtection="1">
      <alignment horizontal="center" vertical="center"/>
      <protection/>
    </xf>
    <xf numFmtId="0" fontId="4" fillId="33" borderId="31"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vertical="center"/>
      <protection/>
    </xf>
    <xf numFmtId="0" fontId="0" fillId="0" borderId="32" xfId="0" applyNumberFormat="1" applyFont="1" applyFill="1" applyBorder="1" applyAlignment="1" applyProtection="1">
      <alignment vertical="center"/>
      <protection/>
    </xf>
    <xf numFmtId="0" fontId="0" fillId="0" borderId="33" xfId="0" applyNumberFormat="1" applyFont="1" applyFill="1" applyBorder="1" applyAlignment="1" applyProtection="1">
      <alignment horizontal="center" vertical="center"/>
      <protection/>
    </xf>
    <xf numFmtId="0" fontId="0" fillId="0" borderId="34" xfId="0" applyNumberFormat="1" applyFont="1" applyFill="1" applyBorder="1" applyAlignment="1" applyProtection="1">
      <alignment horizontal="center" vertical="center"/>
      <protection/>
    </xf>
    <xf numFmtId="0" fontId="0" fillId="0" borderId="35"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vertical="center"/>
      <protection/>
    </xf>
    <xf numFmtId="0" fontId="0" fillId="0" borderId="30" xfId="0" applyNumberFormat="1" applyFont="1" applyFill="1" applyBorder="1" applyAlignment="1" applyProtection="1">
      <alignment vertical="center"/>
      <protection/>
    </xf>
    <xf numFmtId="0" fontId="0" fillId="34" borderId="28" xfId="0" applyNumberFormat="1" applyFont="1" applyFill="1" applyBorder="1" applyAlignment="1" applyProtection="1">
      <alignment vertical="center"/>
      <protection/>
    </xf>
    <xf numFmtId="0" fontId="0" fillId="34" borderId="30" xfId="0" applyNumberFormat="1" applyFont="1" applyFill="1" applyBorder="1" applyAlignment="1" applyProtection="1">
      <alignment vertical="center"/>
      <protection/>
    </xf>
    <xf numFmtId="0" fontId="0" fillId="0" borderId="30" xfId="0" applyNumberFormat="1" applyFont="1" applyFill="1" applyBorder="1" applyAlignment="1" applyProtection="1">
      <alignment horizontal="center" vertical="center"/>
      <protection/>
    </xf>
    <xf numFmtId="0" fontId="5" fillId="0" borderId="0" xfId="62" applyNumberFormat="1" applyFont="1" applyFill="1" applyBorder="1" applyAlignment="1" applyProtection="1">
      <alignment vertical="center"/>
      <protection/>
    </xf>
    <xf numFmtId="0" fontId="5" fillId="35" borderId="36" xfId="62" applyNumberFormat="1" applyFont="1" applyFill="1" applyBorder="1" applyAlignment="1" applyProtection="1">
      <alignment vertical="center"/>
      <protection/>
    </xf>
    <xf numFmtId="182" fontId="5" fillId="35" borderId="37" xfId="62" applyNumberFormat="1" applyFont="1" applyFill="1" applyBorder="1" applyAlignment="1" applyProtection="1">
      <alignment vertical="center"/>
      <protection/>
    </xf>
    <xf numFmtId="9" fontId="5" fillId="0" borderId="38" xfId="62" applyNumberFormat="1" applyFont="1" applyFill="1" applyBorder="1" applyAlignment="1" applyProtection="1">
      <alignment horizontal="center" vertical="center"/>
      <protection/>
    </xf>
    <xf numFmtId="5" fontId="5" fillId="0" borderId="31" xfId="62" applyNumberFormat="1" applyFont="1" applyFill="1" applyBorder="1" applyAlignment="1" applyProtection="1">
      <alignment horizontal="center" vertical="center"/>
      <protection/>
    </xf>
    <xf numFmtId="5" fontId="5" fillId="0" borderId="0" xfId="62" applyNumberFormat="1" applyFont="1" applyFill="1" applyBorder="1" applyAlignment="1" applyProtection="1">
      <alignment horizontal="center" vertical="center"/>
      <protection/>
    </xf>
    <xf numFmtId="6" fontId="5" fillId="35" borderId="37" xfId="62" applyNumberFormat="1" applyFont="1" applyFill="1" applyBorder="1" applyAlignment="1" applyProtection="1">
      <alignment vertical="center"/>
      <protection/>
    </xf>
    <xf numFmtId="6" fontId="5" fillId="0" borderId="39" xfId="62"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55" fontId="6" fillId="0" borderId="22" xfId="62" applyNumberFormat="1" applyFont="1" applyFill="1" applyBorder="1" applyAlignment="1" applyProtection="1">
      <alignment horizontal="center" vertical="center"/>
      <protection/>
    </xf>
    <xf numFmtId="55" fontId="0" fillId="0" borderId="22" xfId="0" applyNumberFormat="1" applyFont="1" applyFill="1" applyBorder="1" applyAlignment="1" applyProtection="1">
      <alignment horizontal="center" vertical="center"/>
      <protection/>
    </xf>
    <xf numFmtId="55" fontId="6" fillId="0" borderId="40" xfId="62" applyNumberFormat="1" applyFont="1" applyFill="1" applyBorder="1" applyAlignment="1" applyProtection="1">
      <alignment horizontal="center" vertical="center"/>
      <protection/>
    </xf>
    <xf numFmtId="0" fontId="5" fillId="35" borderId="41" xfId="62" applyNumberFormat="1" applyFont="1" applyFill="1" applyBorder="1" applyAlignment="1" applyProtection="1">
      <alignment horizontal="center" vertical="center"/>
      <protection/>
    </xf>
    <xf numFmtId="0" fontId="5" fillId="35" borderId="42" xfId="62" applyNumberFormat="1" applyFont="1" applyFill="1" applyBorder="1" applyAlignment="1" applyProtection="1">
      <alignment horizontal="center" vertical="center" wrapText="1"/>
      <protection/>
    </xf>
    <xf numFmtId="0" fontId="5" fillId="35" borderId="42" xfId="62" applyNumberFormat="1" applyFont="1" applyFill="1" applyBorder="1" applyAlignment="1" applyProtection="1">
      <alignment horizontal="center" vertical="center"/>
      <protection/>
    </xf>
    <xf numFmtId="182" fontId="5" fillId="35" borderId="42" xfId="62" applyNumberFormat="1" applyFont="1" applyFill="1" applyBorder="1" applyAlignment="1" applyProtection="1">
      <alignment horizontal="center" vertical="center" wrapText="1"/>
      <protection/>
    </xf>
    <xf numFmtId="183" fontId="5" fillId="35" borderId="42" xfId="62" applyNumberFormat="1" applyFont="1" applyFill="1" applyBorder="1" applyAlignment="1" applyProtection="1">
      <alignment horizontal="center" vertical="center"/>
      <protection/>
    </xf>
    <xf numFmtId="0" fontId="5" fillId="35" borderId="43" xfId="62" applyNumberFormat="1" applyFont="1" applyFill="1" applyBorder="1" applyAlignment="1" applyProtection="1">
      <alignment horizontal="center" vertical="center" wrapText="1"/>
      <protection/>
    </xf>
    <xf numFmtId="182" fontId="5" fillId="35" borderId="44" xfId="62" applyNumberFormat="1" applyFont="1" applyFill="1" applyBorder="1" applyAlignment="1" applyProtection="1">
      <alignment vertical="center"/>
      <protection/>
    </xf>
    <xf numFmtId="184" fontId="5" fillId="35" borderId="45" xfId="62" applyNumberFormat="1" applyFont="1" applyFill="1" applyBorder="1" applyAlignment="1" applyProtection="1">
      <alignment horizontal="center" vertical="center"/>
      <protection/>
    </xf>
    <xf numFmtId="184" fontId="6" fillId="0" borderId="46" xfId="62" applyNumberFormat="1" applyFont="1" applyFill="1" applyBorder="1" applyAlignment="1" applyProtection="1">
      <alignment horizontal="right" vertical="center"/>
      <protection/>
    </xf>
    <xf numFmtId="184" fontId="6" fillId="0" borderId="47" xfId="62" applyNumberFormat="1" applyFont="1" applyFill="1" applyBorder="1" applyAlignment="1" applyProtection="1">
      <alignment horizontal="right" vertical="center"/>
      <protection/>
    </xf>
    <xf numFmtId="185" fontId="6" fillId="0" borderId="47" xfId="62" applyNumberFormat="1" applyFont="1" applyFill="1" applyBorder="1" applyAlignment="1" applyProtection="1">
      <alignment horizontal="right" vertical="center"/>
      <protection/>
    </xf>
    <xf numFmtId="186" fontId="6" fillId="0" borderId="47" xfId="62" applyNumberFormat="1" applyFont="1" applyFill="1" applyBorder="1" applyAlignment="1" applyProtection="1">
      <alignment horizontal="right" vertical="center"/>
      <protection/>
    </xf>
    <xf numFmtId="187" fontId="6" fillId="0" borderId="47" xfId="62" applyNumberFormat="1" applyFont="1" applyFill="1" applyBorder="1" applyAlignment="1" applyProtection="1">
      <alignment vertical="center"/>
      <protection/>
    </xf>
    <xf numFmtId="184" fontId="6" fillId="0" borderId="47" xfId="62" applyNumberFormat="1" applyFont="1" applyFill="1" applyBorder="1" applyAlignment="1" applyProtection="1">
      <alignment vertical="center"/>
      <protection/>
    </xf>
    <xf numFmtId="181" fontId="6" fillId="0" borderId="47" xfId="62" applyNumberFormat="1" applyFont="1" applyFill="1" applyBorder="1" applyAlignment="1" applyProtection="1">
      <alignment vertical="center"/>
      <protection/>
    </xf>
    <xf numFmtId="181" fontId="6" fillId="0" borderId="48" xfId="62" applyNumberFormat="1" applyFont="1" applyFill="1" applyBorder="1" applyAlignment="1" applyProtection="1">
      <alignment vertical="center"/>
      <protection/>
    </xf>
    <xf numFmtId="184" fontId="0" fillId="0" borderId="46" xfId="0" applyNumberFormat="1" applyFont="1" applyFill="1" applyBorder="1" applyAlignment="1" applyProtection="1">
      <alignment vertical="center"/>
      <protection/>
    </xf>
    <xf numFmtId="184" fontId="0" fillId="0" borderId="47" xfId="0" applyNumberFormat="1" applyFont="1" applyFill="1" applyBorder="1" applyAlignment="1" applyProtection="1">
      <alignment vertical="center"/>
      <protection/>
    </xf>
    <xf numFmtId="0" fontId="0" fillId="0" borderId="47" xfId="0" applyNumberFormat="1" applyFont="1" applyFill="1" applyBorder="1" applyAlignment="1" applyProtection="1">
      <alignment vertical="center"/>
      <protection/>
    </xf>
    <xf numFmtId="184" fontId="0" fillId="0" borderId="49" xfId="0" applyNumberFormat="1" applyFont="1" applyFill="1" applyBorder="1" applyAlignment="1" applyProtection="1">
      <alignment vertical="center"/>
      <protection/>
    </xf>
    <xf numFmtId="184" fontId="0" fillId="0" borderId="50" xfId="0" applyNumberFormat="1" applyFont="1" applyFill="1" applyBorder="1" applyAlignment="1" applyProtection="1">
      <alignment vertical="center"/>
      <protection/>
    </xf>
    <xf numFmtId="0" fontId="0" fillId="0" borderId="50" xfId="0" applyNumberFormat="1" applyFont="1" applyFill="1" applyBorder="1" applyAlignment="1" applyProtection="1">
      <alignment vertical="center"/>
      <protection/>
    </xf>
    <xf numFmtId="185" fontId="6" fillId="0" borderId="50" xfId="62" applyNumberFormat="1" applyFont="1" applyFill="1" applyBorder="1" applyAlignment="1" applyProtection="1">
      <alignment horizontal="right" vertical="center"/>
      <protection/>
    </xf>
    <xf numFmtId="187" fontId="6" fillId="0" borderId="50" xfId="62" applyNumberFormat="1" applyFont="1" applyFill="1" applyBorder="1" applyAlignment="1" applyProtection="1">
      <alignment vertical="center"/>
      <protection/>
    </xf>
    <xf numFmtId="184" fontId="6" fillId="0" borderId="50" xfId="62" applyNumberFormat="1" applyFont="1" applyFill="1" applyBorder="1" applyAlignment="1" applyProtection="1">
      <alignment vertical="center"/>
      <protection/>
    </xf>
    <xf numFmtId="181" fontId="6" fillId="0" borderId="50" xfId="62" applyNumberFormat="1" applyFont="1" applyFill="1" applyBorder="1" applyAlignment="1" applyProtection="1">
      <alignment vertical="center"/>
      <protection/>
    </xf>
    <xf numFmtId="181" fontId="6" fillId="0" borderId="51" xfId="62" applyNumberFormat="1" applyFont="1" applyFill="1" applyBorder="1" applyAlignment="1" applyProtection="1">
      <alignment vertical="center"/>
      <protection/>
    </xf>
    <xf numFmtId="6" fontId="6" fillId="0" borderId="47" xfId="62" applyNumberFormat="1" applyFont="1" applyFill="1" applyBorder="1" applyAlignment="1" applyProtection="1">
      <alignment horizontal="right" vertical="center"/>
      <protection/>
    </xf>
    <xf numFmtId="55" fontId="0" fillId="0" borderId="21" xfId="0" applyNumberFormat="1" applyFont="1" applyFill="1" applyBorder="1" applyAlignment="1" applyProtection="1">
      <alignment horizontal="center" vertical="center"/>
      <protection/>
    </xf>
    <xf numFmtId="5" fontId="1" fillId="0" borderId="52" xfId="0" applyNumberFormat="1" applyFont="1" applyFill="1" applyBorder="1" applyAlignment="1" applyProtection="1">
      <alignment vertical="center"/>
      <protection/>
    </xf>
    <xf numFmtId="184" fontId="1" fillId="0" borderId="53" xfId="0" applyNumberFormat="1" applyFont="1" applyFill="1" applyBorder="1" applyAlignment="1" applyProtection="1">
      <alignment vertical="center"/>
      <protection/>
    </xf>
    <xf numFmtId="6" fontId="1" fillId="0" borderId="53" xfId="0" applyNumberFormat="1" applyFont="1" applyFill="1" applyBorder="1" applyAlignment="1" applyProtection="1">
      <alignment vertical="center"/>
      <protection/>
    </xf>
    <xf numFmtId="186" fontId="1" fillId="0" borderId="53" xfId="0" applyNumberFormat="1" applyFont="1" applyFill="1" applyBorder="1" applyAlignment="1" applyProtection="1">
      <alignment vertical="center"/>
      <protection/>
    </xf>
    <xf numFmtId="185" fontId="1" fillId="0" borderId="53" xfId="0" applyNumberFormat="1" applyFont="1" applyFill="1" applyBorder="1" applyAlignment="1" applyProtection="1">
      <alignment vertical="center"/>
      <protection/>
    </xf>
    <xf numFmtId="187" fontId="7" fillId="0" borderId="53" xfId="0" applyNumberFormat="1" applyFont="1" applyFill="1" applyBorder="1" applyAlignment="1" applyProtection="1">
      <alignment vertical="center"/>
      <protection/>
    </xf>
    <xf numFmtId="181" fontId="1" fillId="0" borderId="54" xfId="0" applyNumberFormat="1" applyFont="1" applyFill="1" applyBorder="1" applyAlignment="1" applyProtection="1">
      <alignment vertical="center"/>
      <protection/>
    </xf>
    <xf numFmtId="181" fontId="1" fillId="0" borderId="55" xfId="0" applyNumberFormat="1" applyFont="1" applyFill="1" applyBorder="1" applyAlignment="1" applyProtection="1">
      <alignment vertical="center"/>
      <protection/>
    </xf>
    <xf numFmtId="0" fontId="0" fillId="0" borderId="56" xfId="0" applyNumberFormat="1" applyFont="1" applyFill="1" applyBorder="1" applyAlignment="1" applyProtection="1">
      <alignment vertical="center"/>
      <protection/>
    </xf>
    <xf numFmtId="0" fontId="8" fillId="0" borderId="48" xfId="0" applyNumberFormat="1" applyFont="1" applyFill="1" applyBorder="1" applyAlignment="1" applyProtection="1">
      <alignment vertical="center"/>
      <protection/>
    </xf>
    <xf numFmtId="0" fontId="5" fillId="36" borderId="0" xfId="62" applyNumberFormat="1" applyFont="1" applyFill="1" applyBorder="1" applyAlignment="1" applyProtection="1">
      <alignment vertical="center"/>
      <protection/>
    </xf>
    <xf numFmtId="5" fontId="5" fillId="36" borderId="0" xfId="62" applyNumberFormat="1" applyFont="1" applyFill="1" applyBorder="1" applyAlignment="1" applyProtection="1">
      <alignment horizontal="center" vertical="center"/>
      <protection/>
    </xf>
    <xf numFmtId="182" fontId="5" fillId="36" borderId="0" xfId="62" applyNumberFormat="1" applyFont="1" applyFill="1" applyBorder="1" applyAlignment="1" applyProtection="1">
      <alignment vertical="center"/>
      <protection/>
    </xf>
    <xf numFmtId="6" fontId="5" fillId="36" borderId="0" xfId="62" applyNumberFormat="1" applyFont="1" applyFill="1" applyBorder="1" applyAlignment="1" applyProtection="1">
      <alignment vertical="center"/>
      <protection/>
    </xf>
    <xf numFmtId="6" fontId="5" fillId="36" borderId="0" xfId="62" applyNumberFormat="1" applyFont="1" applyFill="1" applyBorder="1" applyAlignment="1" applyProtection="1">
      <alignment horizontal="center" vertical="center"/>
      <protection/>
    </xf>
    <xf numFmtId="0" fontId="0" fillId="36" borderId="0" xfId="0" applyNumberFormat="1" applyFont="1" applyFill="1" applyBorder="1" applyAlignment="1" applyProtection="1">
      <alignment vertical="center"/>
      <protection/>
    </xf>
    <xf numFmtId="0" fontId="5" fillId="36" borderId="57" xfId="62" applyNumberFormat="1" applyFont="1" applyFill="1" applyBorder="1" applyAlignment="1" applyProtection="1">
      <alignment vertical="center"/>
      <protection/>
    </xf>
    <xf numFmtId="5" fontId="5" fillId="36" borderId="57" xfId="62" applyNumberFormat="1" applyFont="1" applyFill="1" applyBorder="1" applyAlignment="1" applyProtection="1">
      <alignment horizontal="center" vertical="center"/>
      <protection/>
    </xf>
    <xf numFmtId="182" fontId="5" fillId="36" borderId="57" xfId="62" applyNumberFormat="1" applyFont="1" applyFill="1" applyBorder="1" applyAlignment="1" applyProtection="1">
      <alignment vertical="center"/>
      <protection/>
    </xf>
    <xf numFmtId="6" fontId="5" fillId="36" borderId="57" xfId="62" applyNumberFormat="1" applyFont="1" applyFill="1" applyBorder="1" applyAlignment="1" applyProtection="1">
      <alignment vertical="center"/>
      <protection/>
    </xf>
    <xf numFmtId="6" fontId="5" fillId="36" borderId="57" xfId="62" applyNumberFormat="1" applyFont="1" applyFill="1" applyBorder="1" applyAlignment="1" applyProtection="1">
      <alignment horizontal="center" vertical="center"/>
      <protection/>
    </xf>
    <xf numFmtId="0" fontId="0" fillId="36" borderId="57" xfId="0" applyNumberFormat="1" applyFont="1" applyFill="1" applyBorder="1" applyAlignment="1" applyProtection="1">
      <alignment vertical="center"/>
      <protection/>
    </xf>
    <xf numFmtId="0" fontId="0" fillId="0" borderId="57" xfId="0" applyNumberFormat="1" applyFont="1" applyFill="1" applyBorder="1" applyAlignment="1" applyProtection="1">
      <alignment vertical="center"/>
      <protection/>
    </xf>
    <xf numFmtId="0" fontId="0" fillId="0" borderId="58" xfId="0" applyNumberFormat="1" applyFont="1" applyFill="1" applyBorder="1" applyAlignment="1" applyProtection="1">
      <alignment vertical="center"/>
      <protection/>
    </xf>
    <xf numFmtId="5" fontId="6" fillId="37" borderId="58" xfId="62" applyNumberFormat="1" applyFont="1" applyFill="1" applyBorder="1" applyAlignment="1" applyProtection="1">
      <alignment horizontal="center"/>
      <protection/>
    </xf>
    <xf numFmtId="5" fontId="5" fillId="0" borderId="58" xfId="62" applyNumberFormat="1" applyFont="1" applyFill="1" applyBorder="1" applyAlignment="1" applyProtection="1">
      <alignment horizontal="center" vertical="center"/>
      <protection/>
    </xf>
    <xf numFmtId="0" fontId="5" fillId="0" borderId="58" xfId="62" applyNumberFormat="1" applyFont="1" applyFill="1" applyBorder="1" applyAlignment="1" applyProtection="1">
      <alignment/>
      <protection/>
    </xf>
    <xf numFmtId="5" fontId="6" fillId="37" borderId="20" xfId="62" applyNumberFormat="1" applyFont="1" applyFill="1" applyBorder="1" applyAlignment="1" applyProtection="1">
      <alignment horizontal="center"/>
      <protection/>
    </xf>
    <xf numFmtId="0" fontId="9" fillId="35" borderId="59" xfId="62" applyNumberFormat="1" applyFont="1" applyFill="1" applyBorder="1" applyAlignment="1" applyProtection="1">
      <alignment horizontal="center" vertical="center"/>
      <protection/>
    </xf>
    <xf numFmtId="5" fontId="9" fillId="36" borderId="57" xfId="62" applyNumberFormat="1" applyFont="1" applyFill="1" applyBorder="1" applyAlignment="1" applyProtection="1">
      <alignment horizontal="center" vertical="center"/>
      <protection/>
    </xf>
    <xf numFmtId="9" fontId="5" fillId="36" borderId="60" xfId="62" applyNumberFormat="1" applyFont="1" applyFill="1" applyBorder="1" applyAlignment="1" applyProtection="1">
      <alignment horizontal="center" vertical="center"/>
      <protection/>
    </xf>
    <xf numFmtId="5" fontId="6" fillId="37" borderId="61" xfId="62" applyNumberFormat="1" applyFont="1" applyFill="1" applyBorder="1" applyAlignment="1" applyProtection="1">
      <alignment horizontal="center"/>
      <protection/>
    </xf>
    <xf numFmtId="0" fontId="0" fillId="0" borderId="62" xfId="0" applyNumberFormat="1" applyFont="1" applyFill="1" applyBorder="1" applyAlignment="1" applyProtection="1">
      <alignment vertical="center"/>
      <protection/>
    </xf>
    <xf numFmtId="0" fontId="0" fillId="0" borderId="63" xfId="0" applyNumberFormat="1" applyFont="1" applyFill="1" applyBorder="1" applyAlignment="1" applyProtection="1">
      <alignment vertical="center"/>
      <protection/>
    </xf>
    <xf numFmtId="0" fontId="0" fillId="0" borderId="64" xfId="0" applyNumberFormat="1" applyFont="1" applyFill="1" applyBorder="1" applyAlignment="1" applyProtection="1">
      <alignment vertical="center"/>
      <protection/>
    </xf>
    <xf numFmtId="0" fontId="5" fillId="35" borderId="37" xfId="62"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0" fillId="0" borderId="65" xfId="0" applyNumberFormat="1" applyFont="1" applyFill="1" applyBorder="1" applyAlignment="1" applyProtection="1">
      <alignment vertical="center"/>
      <protection/>
    </xf>
    <xf numFmtId="0" fontId="0" fillId="34" borderId="39" xfId="0" applyNumberFormat="1" applyFont="1" applyFill="1" applyBorder="1" applyAlignment="1" applyProtection="1">
      <alignment vertical="center"/>
      <protection/>
    </xf>
    <xf numFmtId="0" fontId="1" fillId="0" borderId="0" xfId="63">
      <alignment vertical="center"/>
      <protection/>
    </xf>
    <xf numFmtId="0" fontId="1" fillId="0" borderId="66" xfId="63" applyBorder="1">
      <alignment vertical="center"/>
      <protection/>
    </xf>
    <xf numFmtId="0" fontId="1" fillId="0" borderId="67" xfId="63" applyBorder="1">
      <alignment vertical="center"/>
      <protection/>
    </xf>
    <xf numFmtId="0" fontId="1" fillId="0" borderId="68" xfId="63" applyBorder="1">
      <alignment vertical="center"/>
      <protection/>
    </xf>
    <xf numFmtId="0" fontId="1" fillId="0" borderId="69" xfId="63" applyBorder="1">
      <alignment vertical="center"/>
      <protection/>
    </xf>
    <xf numFmtId="0" fontId="1" fillId="0" borderId="0" xfId="63" applyBorder="1">
      <alignment vertical="center"/>
      <protection/>
    </xf>
    <xf numFmtId="0" fontId="0" fillId="0" borderId="0" xfId="0" applyFont="1" applyAlignment="1">
      <alignment vertical="center"/>
    </xf>
    <xf numFmtId="0" fontId="1" fillId="0" borderId="0" xfId="63" applyFont="1">
      <alignment vertical="center"/>
      <protection/>
    </xf>
    <xf numFmtId="22" fontId="0" fillId="0" borderId="0" xfId="0" applyNumberFormat="1" applyAlignment="1">
      <alignment vertical="center"/>
    </xf>
    <xf numFmtId="0" fontId="0" fillId="38" borderId="0" xfId="0" applyFill="1" applyAlignment="1">
      <alignment vertical="center"/>
    </xf>
    <xf numFmtId="0" fontId="0" fillId="34" borderId="44" xfId="0" applyNumberFormat="1" applyFont="1" applyFill="1" applyBorder="1" applyAlignment="1" applyProtection="1">
      <alignment vertical="center"/>
      <protection/>
    </xf>
    <xf numFmtId="0" fontId="0" fillId="39" borderId="19" xfId="0" applyFill="1" applyBorder="1" applyAlignment="1">
      <alignment vertical="center"/>
    </xf>
    <xf numFmtId="0" fontId="0" fillId="39" borderId="19" xfId="0" applyFill="1" applyBorder="1" applyAlignment="1">
      <alignment vertical="center" wrapText="1"/>
    </xf>
    <xf numFmtId="0" fontId="0" fillId="39" borderId="19" xfId="0" applyNumberFormat="1" applyFont="1" applyFill="1" applyBorder="1" applyAlignment="1" applyProtection="1">
      <alignment vertical="center"/>
      <protection/>
    </xf>
    <xf numFmtId="0" fontId="0" fillId="28" borderId="19" xfId="0" applyNumberFormat="1" applyFont="1" applyFill="1" applyBorder="1" applyAlignment="1" applyProtection="1">
      <alignment vertical="center" wrapText="1"/>
      <protection/>
    </xf>
    <xf numFmtId="0" fontId="0" fillId="28" borderId="19" xfId="0" applyNumberFormat="1" applyFont="1" applyFill="1" applyBorder="1" applyAlignment="1" applyProtection="1">
      <alignment vertical="center"/>
      <protection/>
    </xf>
    <xf numFmtId="0" fontId="0" fillId="40" borderId="19" xfId="0" applyNumberFormat="1" applyFont="1" applyFill="1" applyBorder="1" applyAlignment="1" applyProtection="1">
      <alignment vertical="center"/>
      <protection/>
    </xf>
    <xf numFmtId="0" fontId="0" fillId="0" borderId="0" xfId="0" applyFont="1" applyAlignment="1">
      <alignment vertical="center"/>
    </xf>
    <xf numFmtId="0" fontId="49" fillId="41" borderId="0" xfId="0" applyFont="1" applyFill="1" applyAlignment="1">
      <alignment vertical="center" wrapText="1"/>
    </xf>
    <xf numFmtId="0" fontId="49" fillId="41" borderId="0" xfId="0" applyFont="1" applyFill="1" applyAlignment="1">
      <alignment vertical="center"/>
    </xf>
    <xf numFmtId="5" fontId="49" fillId="41" borderId="0" xfId="0" applyNumberFormat="1" applyFont="1" applyFill="1" applyAlignment="1">
      <alignment vertical="center"/>
    </xf>
    <xf numFmtId="9" fontId="49" fillId="41" borderId="0" xfId="0" applyNumberFormat="1" applyFont="1" applyFill="1" applyAlignment="1">
      <alignment vertical="center"/>
    </xf>
    <xf numFmtId="0" fontId="0" fillId="40" borderId="19" xfId="0" applyNumberFormat="1" applyFont="1" applyFill="1" applyBorder="1" applyAlignment="1" applyProtection="1">
      <alignment vertical="center" wrapText="1"/>
      <protection/>
    </xf>
    <xf numFmtId="0" fontId="0" fillId="0" borderId="0" xfId="0" applyNumberFormat="1" applyAlignment="1">
      <alignment vertical="center"/>
    </xf>
    <xf numFmtId="0" fontId="3" fillId="0" borderId="0" xfId="0" applyFont="1" applyAlignment="1">
      <alignment vertical="center"/>
    </xf>
    <xf numFmtId="0" fontId="0" fillId="0" borderId="0" xfId="0" applyAlignment="1">
      <alignment horizontal="left" vertical="center" indent="1"/>
    </xf>
    <xf numFmtId="14" fontId="0" fillId="0" borderId="0" xfId="0" applyNumberFormat="1" applyFont="1" applyAlignment="1">
      <alignment vertical="center"/>
    </xf>
    <xf numFmtId="14" fontId="0" fillId="0" borderId="0" xfId="0" applyNumberFormat="1" applyAlignment="1">
      <alignment vertical="center"/>
    </xf>
    <xf numFmtId="0" fontId="0" fillId="0" borderId="0" xfId="0" applyAlignment="1">
      <alignment horizontal="left" vertical="center"/>
    </xf>
    <xf numFmtId="0" fontId="49" fillId="41" borderId="0" xfId="0" applyNumberFormat="1" applyFont="1" applyFill="1" applyAlignment="1">
      <alignment vertical="center"/>
    </xf>
    <xf numFmtId="7" fontId="0" fillId="0" borderId="0" xfId="0" applyNumberFormat="1" applyFont="1" applyAlignment="1">
      <alignment vertical="center"/>
    </xf>
    <xf numFmtId="0" fontId="0" fillId="38" borderId="0" xfId="0" applyFill="1" applyAlignment="1">
      <alignment horizontal="left" vertical="center"/>
    </xf>
    <xf numFmtId="196" fontId="0" fillId="0" borderId="0" xfId="0" applyNumberFormat="1" applyAlignment="1">
      <alignment vertical="center"/>
    </xf>
    <xf numFmtId="0" fontId="0" fillId="34" borderId="0" xfId="0" applyNumberFormat="1" applyFont="1" applyFill="1" applyBorder="1" applyAlignment="1" applyProtection="1">
      <alignment vertical="center"/>
      <protection/>
    </xf>
    <xf numFmtId="0" fontId="0" fillId="0" borderId="0" xfId="0" applyFont="1" applyFill="1" applyBorder="1" applyAlignment="1">
      <alignment vertical="center"/>
    </xf>
    <xf numFmtId="197" fontId="0" fillId="0" borderId="0" xfId="0" applyNumberFormat="1" applyAlignment="1">
      <alignment vertical="center"/>
    </xf>
    <xf numFmtId="9" fontId="0" fillId="0" borderId="0" xfId="0" applyNumberFormat="1" applyAlignment="1">
      <alignment vertical="center"/>
    </xf>
    <xf numFmtId="22" fontId="0" fillId="0" borderId="0" xfId="0" applyNumberFormat="1" applyFont="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9" fontId="0" fillId="0" borderId="74" xfId="0" applyNumberFormat="1" applyBorder="1" applyAlignment="1">
      <alignment vertical="center"/>
    </xf>
    <xf numFmtId="0" fontId="0" fillId="0" borderId="75" xfId="0" applyBorder="1" applyAlignment="1">
      <alignment vertical="center"/>
    </xf>
    <xf numFmtId="0" fontId="0" fillId="0" borderId="76" xfId="0" applyBorder="1" applyAlignment="1">
      <alignment vertical="center"/>
    </xf>
    <xf numFmtId="9" fontId="0" fillId="0" borderId="77" xfId="0" applyNumberFormat="1" applyBorder="1" applyAlignment="1">
      <alignment vertical="center"/>
    </xf>
    <xf numFmtId="9" fontId="0" fillId="0" borderId="78" xfId="0" applyNumberFormat="1" applyBorder="1" applyAlignment="1">
      <alignment vertical="center"/>
    </xf>
    <xf numFmtId="0" fontId="0" fillId="42" borderId="79" xfId="0" applyFill="1" applyBorder="1" applyAlignment="1">
      <alignment vertical="center"/>
    </xf>
    <xf numFmtId="0" fontId="0" fillId="42" borderId="18" xfId="0" applyFill="1" applyBorder="1" applyAlignment="1">
      <alignment vertical="center"/>
    </xf>
    <xf numFmtId="0" fontId="0" fillId="42" borderId="21" xfId="0" applyFill="1" applyBorder="1" applyAlignment="1">
      <alignment vertical="center"/>
    </xf>
    <xf numFmtId="0" fontId="3" fillId="0" borderId="0" xfId="0" applyNumberFormat="1" applyFont="1" applyFill="1" applyBorder="1" applyAlignment="1" applyProtection="1">
      <alignment horizontal="center" vertical="center"/>
      <protection/>
    </xf>
    <xf numFmtId="9" fontId="0" fillId="0" borderId="0" xfId="0" applyNumberFormat="1" applyFill="1" applyBorder="1" applyAlignment="1">
      <alignment vertical="center"/>
    </xf>
    <xf numFmtId="14" fontId="0" fillId="0" borderId="0" xfId="0" applyNumberFormat="1" applyFont="1" applyAlignment="1">
      <alignment vertical="center"/>
    </xf>
    <xf numFmtId="200" fontId="49" fillId="41" borderId="0" xfId="0" applyNumberFormat="1" applyFont="1" applyFill="1" applyAlignment="1">
      <alignment vertical="center"/>
    </xf>
    <xf numFmtId="5" fontId="6" fillId="37" borderId="22" xfId="62" applyNumberFormat="1" applyFont="1" applyFill="1" applyBorder="1" applyAlignment="1" applyProtection="1">
      <alignment horizontal="center"/>
      <protection/>
    </xf>
    <xf numFmtId="5" fontId="6" fillId="37" borderId="60" xfId="62" applyNumberFormat="1" applyFont="1" applyFill="1" applyBorder="1" applyAlignment="1" applyProtection="1">
      <alignment horizontal="center"/>
      <protection/>
    </xf>
    <xf numFmtId="5" fontId="6" fillId="37" borderId="48" xfId="62" applyNumberFormat="1" applyFont="1" applyFill="1" applyBorder="1" applyAlignment="1" applyProtection="1">
      <alignment horizontal="center"/>
      <protection/>
    </xf>
    <xf numFmtId="5" fontId="6" fillId="37" borderId="62" xfId="62" applyNumberFormat="1" applyFont="1" applyFill="1" applyBorder="1" applyAlignment="1" applyProtection="1">
      <alignment horizontal="center"/>
      <protection/>
    </xf>
    <xf numFmtId="5" fontId="6" fillId="37" borderId="80" xfId="62" applyNumberFormat="1" applyFont="1" applyFill="1" applyBorder="1" applyAlignment="1" applyProtection="1">
      <alignment horizontal="center"/>
      <protection/>
    </xf>
    <xf numFmtId="5" fontId="10" fillId="0" borderId="20" xfId="62" applyNumberFormat="1" applyFont="1" applyFill="1" applyBorder="1" applyAlignment="1" applyProtection="1">
      <alignment horizontal="center" vertical="center"/>
      <protection/>
    </xf>
    <xf numFmtId="188" fontId="5" fillId="0" borderId="29" xfId="62" applyNumberFormat="1" applyFont="1" applyFill="1" applyBorder="1" applyAlignment="1" applyProtection="1">
      <alignment horizontal="center" vertical="center"/>
      <protection/>
    </xf>
    <xf numFmtId="188" fontId="5" fillId="0" borderId="39" xfId="62" applyNumberFormat="1" applyFont="1" applyFill="1" applyBorder="1" applyAlignment="1" applyProtection="1">
      <alignment horizontal="center" vertical="center"/>
      <protection/>
    </xf>
    <xf numFmtId="5" fontId="5" fillId="0" borderId="80" xfId="62" applyNumberFormat="1" applyFont="1" applyFill="1" applyBorder="1" applyAlignment="1" applyProtection="1">
      <alignment horizontal="center" vertical="center"/>
      <protection/>
    </xf>
    <xf numFmtId="5" fontId="5" fillId="0" borderId="81" xfId="62" applyNumberFormat="1" applyFont="1" applyFill="1" applyBorder="1" applyAlignment="1" applyProtection="1">
      <alignment horizontal="center" vertical="center"/>
      <protection/>
    </xf>
    <xf numFmtId="0" fontId="4" fillId="33" borderId="82" xfId="0" applyNumberFormat="1" applyFont="1" applyFill="1" applyBorder="1" applyAlignment="1" applyProtection="1">
      <alignment horizontal="center" vertical="center"/>
      <protection/>
    </xf>
    <xf numFmtId="0" fontId="4" fillId="33" borderId="39" xfId="0" applyNumberFormat="1" applyFont="1" applyFill="1" applyBorder="1" applyAlignment="1" applyProtection="1">
      <alignment horizontal="center" vertical="center"/>
      <protection/>
    </xf>
    <xf numFmtId="0" fontId="4" fillId="33" borderId="37" xfId="0" applyNumberFormat="1" applyFont="1" applyFill="1" applyBorder="1" applyAlignment="1" applyProtection="1">
      <alignment horizontal="center" vertical="center"/>
      <protection/>
    </xf>
    <xf numFmtId="0" fontId="4" fillId="33" borderId="28" xfId="0" applyNumberFormat="1" applyFont="1" applyFill="1" applyBorder="1" applyAlignment="1" applyProtection="1">
      <alignment horizontal="center" vertical="center"/>
      <protection/>
    </xf>
    <xf numFmtId="0" fontId="0" fillId="28" borderId="19" xfId="0" applyFill="1" applyBorder="1" applyAlignment="1">
      <alignment horizontal="center" vertical="center" wrapText="1"/>
    </xf>
    <xf numFmtId="0" fontId="0" fillId="28" borderId="19" xfId="0" applyFill="1" applyBorder="1" applyAlignment="1">
      <alignment horizontal="center" vertical="center"/>
    </xf>
    <xf numFmtId="0" fontId="0" fillId="40" borderId="19" xfId="0" applyFill="1" applyBorder="1" applyAlignment="1">
      <alignment horizontal="center" vertical="center"/>
    </xf>
    <xf numFmtId="0" fontId="0" fillId="39" borderId="22" xfId="0" applyFill="1" applyBorder="1" applyAlignment="1">
      <alignment horizontal="center" vertical="center"/>
    </xf>
    <xf numFmtId="0" fontId="0" fillId="39" borderId="60" xfId="0" applyFill="1" applyBorder="1" applyAlignment="1">
      <alignment horizontal="center" vertical="center"/>
    </xf>
    <xf numFmtId="0" fontId="0" fillId="39" borderId="48" xfId="0" applyFill="1" applyBorder="1" applyAlignment="1">
      <alignment horizontal="center" vertical="center"/>
    </xf>
    <xf numFmtId="0" fontId="1" fillId="0" borderId="0" xfId="63" applyFont="1" applyFill="1" applyBorder="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気づき"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525"/>
          <c:w val="0.859"/>
          <c:h val="0.976"/>
        </c:manualLayout>
      </c:layout>
      <c:barChart>
        <c:barDir val="col"/>
        <c:grouping val="clustered"/>
        <c:varyColors val="0"/>
        <c:ser>
          <c:idx val="0"/>
          <c:order val="0"/>
          <c:tx>
            <c:v>利益合計</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'ルール＆合計'!$A$21:$A$48</c:f>
              <c:strCache/>
            </c:strRef>
          </c:cat>
          <c:val>
            <c:numRef>
              <c:f>'ルール＆合計'!$B$21:$B$48</c:f>
              <c:numCache/>
            </c:numRef>
          </c:val>
        </c:ser>
        <c:ser>
          <c:idx val="1"/>
          <c:order val="1"/>
          <c:tx>
            <c:v>損失合計</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'ルール＆合計'!$A$21:$A$48</c:f>
              <c:strCache/>
            </c:strRef>
          </c:cat>
          <c:val>
            <c:numRef>
              <c:f>'ルール＆合計'!$C$21:$C$48</c:f>
              <c:numCache/>
            </c:numRef>
          </c:val>
        </c:ser>
        <c:axId val="37016534"/>
        <c:axId val="64713351"/>
      </c:barChart>
      <c:catAx>
        <c:axId val="3701653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64713351"/>
        <c:crosses val="autoZero"/>
        <c:auto val="1"/>
        <c:lblOffset val="100"/>
        <c:tickLblSkip val="1"/>
        <c:noMultiLvlLbl val="0"/>
      </c:catAx>
      <c:valAx>
        <c:axId val="647133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016534"/>
        <c:crossesAt val="1"/>
        <c:crossBetween val="between"/>
        <c:dispUnits/>
      </c:valAx>
      <c:spPr>
        <a:solidFill>
          <a:srgbClr val="FFFFFF"/>
        </a:solidFill>
        <a:ln w="3175">
          <a:noFill/>
        </a:ln>
      </c:spPr>
    </c:plotArea>
    <c:legend>
      <c:legendPos val="r"/>
      <c:layout>
        <c:manualLayout>
          <c:xMode val="edge"/>
          <c:yMode val="edge"/>
          <c:x val="0.9015"/>
          <c:y val="0.4265"/>
          <c:w val="0.09225"/>
          <c:h val="0.13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20</xdr:row>
      <xdr:rowOff>57150</xdr:rowOff>
    </xdr:from>
    <xdr:to>
      <xdr:col>18</xdr:col>
      <xdr:colOff>142875</xdr:colOff>
      <xdr:row>39</xdr:row>
      <xdr:rowOff>123825</xdr:rowOff>
    </xdr:to>
    <xdr:graphicFrame>
      <xdr:nvGraphicFramePr>
        <xdr:cNvPr id="1" name="グラフ 1"/>
        <xdr:cNvGraphicFramePr/>
      </xdr:nvGraphicFramePr>
      <xdr:xfrm>
        <a:off x="10277475" y="4524375"/>
        <a:ext cx="7829550" cy="33242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14</xdr:col>
      <xdr:colOff>590550</xdr:colOff>
      <xdr:row>95</xdr:row>
      <xdr:rowOff>152400</xdr:rowOff>
    </xdr:to>
    <xdr:grpSp>
      <xdr:nvGrpSpPr>
        <xdr:cNvPr id="1" name="グループ化 4"/>
        <xdr:cNvGrpSpPr>
          <a:grpSpLocks/>
        </xdr:cNvGrpSpPr>
      </xdr:nvGrpSpPr>
      <xdr:grpSpPr>
        <a:xfrm>
          <a:off x="0" y="342900"/>
          <a:ext cx="10058400" cy="16097250"/>
          <a:chOff x="0" y="342900"/>
          <a:chExt cx="10058400" cy="16097445"/>
        </a:xfrm>
        <a:solidFill>
          <a:srgbClr val="FFFFFF"/>
        </a:solidFill>
      </xdr:grpSpPr>
      <xdr:pic>
        <xdr:nvPicPr>
          <xdr:cNvPr id="2" name="図 1"/>
          <xdr:cNvPicPr preferRelativeResize="1">
            <a:picLocks noChangeAspect="1"/>
          </xdr:cNvPicPr>
        </xdr:nvPicPr>
        <xdr:blipFill>
          <a:blip r:embed="rId1"/>
          <a:stretch>
            <a:fillRect/>
          </a:stretch>
        </xdr:blipFill>
        <xdr:spPr>
          <a:xfrm>
            <a:off x="0" y="342900"/>
            <a:ext cx="10058400" cy="6414832"/>
          </a:xfrm>
          <a:prstGeom prst="rect">
            <a:avLst/>
          </a:prstGeom>
          <a:noFill/>
          <a:ln w="9525" cmpd="sng">
            <a:noFill/>
          </a:ln>
        </xdr:spPr>
      </xdr:pic>
      <xdr:pic>
        <xdr:nvPicPr>
          <xdr:cNvPr id="3" name="図 2"/>
          <xdr:cNvPicPr preferRelativeResize="1">
            <a:picLocks noChangeAspect="1"/>
          </xdr:cNvPicPr>
        </xdr:nvPicPr>
        <xdr:blipFill>
          <a:blip r:embed="rId2"/>
          <a:stretch>
            <a:fillRect/>
          </a:stretch>
        </xdr:blipFill>
        <xdr:spPr>
          <a:xfrm>
            <a:off x="0" y="6246638"/>
            <a:ext cx="10058400" cy="6394710"/>
          </a:xfrm>
          <a:prstGeom prst="rect">
            <a:avLst/>
          </a:prstGeom>
          <a:noFill/>
          <a:ln w="9525" cmpd="sng">
            <a:noFill/>
          </a:ln>
        </xdr:spPr>
      </xdr:pic>
      <xdr:pic>
        <xdr:nvPicPr>
          <xdr:cNvPr id="4" name="図 3"/>
          <xdr:cNvPicPr preferRelativeResize="1">
            <a:picLocks noChangeAspect="1"/>
          </xdr:cNvPicPr>
        </xdr:nvPicPr>
        <xdr:blipFill>
          <a:blip r:embed="rId3"/>
          <a:stretch>
            <a:fillRect/>
          </a:stretch>
        </xdr:blipFill>
        <xdr:spPr>
          <a:xfrm>
            <a:off x="0" y="10001367"/>
            <a:ext cx="10058400" cy="6438978"/>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114300</xdr:rowOff>
    </xdr:from>
    <xdr:to>
      <xdr:col>14</xdr:col>
      <xdr:colOff>457200</xdr:colOff>
      <xdr:row>19</xdr:row>
      <xdr:rowOff>9525</xdr:rowOff>
    </xdr:to>
    <xdr:pic>
      <xdr:nvPicPr>
        <xdr:cNvPr id="1" name="図 1"/>
        <xdr:cNvPicPr preferRelativeResize="1">
          <a:picLocks noChangeAspect="1"/>
        </xdr:cNvPicPr>
      </xdr:nvPicPr>
      <xdr:blipFill>
        <a:blip r:embed="rId1"/>
        <a:stretch>
          <a:fillRect/>
        </a:stretch>
      </xdr:blipFill>
      <xdr:spPr>
        <a:xfrm>
          <a:off x="0" y="285750"/>
          <a:ext cx="10058400" cy="2981325"/>
        </a:xfrm>
        <a:prstGeom prst="rect">
          <a:avLst/>
        </a:prstGeom>
        <a:noFill/>
        <a:ln w="9525" cmpd="sng">
          <a:noFill/>
        </a:ln>
      </xdr:spPr>
    </xdr:pic>
    <xdr:clientData/>
  </xdr:twoCellAnchor>
  <xdr:twoCellAnchor editAs="oneCell">
    <xdr:from>
      <xdr:col>0</xdr:col>
      <xdr:colOff>0</xdr:colOff>
      <xdr:row>22</xdr:row>
      <xdr:rowOff>0</xdr:rowOff>
    </xdr:from>
    <xdr:to>
      <xdr:col>14</xdr:col>
      <xdr:colOff>457200</xdr:colOff>
      <xdr:row>59</xdr:row>
      <xdr:rowOff>28575</xdr:rowOff>
    </xdr:to>
    <xdr:pic>
      <xdr:nvPicPr>
        <xdr:cNvPr id="2" name="図 2"/>
        <xdr:cNvPicPr preferRelativeResize="1">
          <a:picLocks noChangeAspect="1"/>
        </xdr:cNvPicPr>
      </xdr:nvPicPr>
      <xdr:blipFill>
        <a:blip r:embed="rId2"/>
        <a:stretch>
          <a:fillRect/>
        </a:stretch>
      </xdr:blipFill>
      <xdr:spPr>
        <a:xfrm>
          <a:off x="0" y="3771900"/>
          <a:ext cx="10058400" cy="6372225"/>
        </a:xfrm>
        <a:prstGeom prst="rect">
          <a:avLst/>
        </a:prstGeom>
        <a:noFill/>
        <a:ln w="9525" cmpd="sng">
          <a:noFill/>
        </a:ln>
      </xdr:spPr>
    </xdr:pic>
    <xdr:clientData/>
  </xdr:twoCellAnchor>
  <xdr:twoCellAnchor editAs="oneCell">
    <xdr:from>
      <xdr:col>0</xdr:col>
      <xdr:colOff>0</xdr:colOff>
      <xdr:row>60</xdr:row>
      <xdr:rowOff>0</xdr:rowOff>
    </xdr:from>
    <xdr:to>
      <xdr:col>14</xdr:col>
      <xdr:colOff>457200</xdr:colOff>
      <xdr:row>97</xdr:row>
      <xdr:rowOff>161925</xdr:rowOff>
    </xdr:to>
    <xdr:pic>
      <xdr:nvPicPr>
        <xdr:cNvPr id="3" name="図 3"/>
        <xdr:cNvPicPr preferRelativeResize="1">
          <a:picLocks noChangeAspect="1"/>
        </xdr:cNvPicPr>
      </xdr:nvPicPr>
      <xdr:blipFill>
        <a:blip r:embed="rId3"/>
        <a:stretch>
          <a:fillRect/>
        </a:stretch>
      </xdr:blipFill>
      <xdr:spPr>
        <a:xfrm>
          <a:off x="0" y="10287000"/>
          <a:ext cx="10058400" cy="6505575"/>
        </a:xfrm>
        <a:prstGeom prst="rect">
          <a:avLst/>
        </a:prstGeom>
        <a:noFill/>
        <a:ln w="9525" cmpd="sng">
          <a:noFill/>
        </a:ln>
      </xdr:spPr>
    </xdr:pic>
    <xdr:clientData/>
  </xdr:twoCellAnchor>
  <xdr:twoCellAnchor editAs="oneCell">
    <xdr:from>
      <xdr:col>0</xdr:col>
      <xdr:colOff>0</xdr:colOff>
      <xdr:row>100</xdr:row>
      <xdr:rowOff>0</xdr:rowOff>
    </xdr:from>
    <xdr:to>
      <xdr:col>14</xdr:col>
      <xdr:colOff>457200</xdr:colOff>
      <xdr:row>130</xdr:row>
      <xdr:rowOff>66675</xdr:rowOff>
    </xdr:to>
    <xdr:pic>
      <xdr:nvPicPr>
        <xdr:cNvPr id="4" name="図 4"/>
        <xdr:cNvPicPr preferRelativeResize="1">
          <a:picLocks noChangeAspect="1"/>
        </xdr:cNvPicPr>
      </xdr:nvPicPr>
      <xdr:blipFill>
        <a:blip r:embed="rId4"/>
        <a:stretch>
          <a:fillRect/>
        </a:stretch>
      </xdr:blipFill>
      <xdr:spPr>
        <a:xfrm>
          <a:off x="0" y="17145000"/>
          <a:ext cx="10058400" cy="5210175"/>
        </a:xfrm>
        <a:prstGeom prst="rect">
          <a:avLst/>
        </a:prstGeom>
        <a:noFill/>
        <a:ln w="9525" cmpd="sng">
          <a:noFill/>
        </a:ln>
      </xdr:spPr>
    </xdr:pic>
    <xdr:clientData/>
  </xdr:twoCellAnchor>
  <xdr:twoCellAnchor editAs="oneCell">
    <xdr:from>
      <xdr:col>0</xdr:col>
      <xdr:colOff>0</xdr:colOff>
      <xdr:row>133</xdr:row>
      <xdr:rowOff>95250</xdr:rowOff>
    </xdr:from>
    <xdr:to>
      <xdr:col>14</xdr:col>
      <xdr:colOff>457200</xdr:colOff>
      <xdr:row>157</xdr:row>
      <xdr:rowOff>47625</xdr:rowOff>
    </xdr:to>
    <xdr:pic>
      <xdr:nvPicPr>
        <xdr:cNvPr id="5" name="図 5"/>
        <xdr:cNvPicPr preferRelativeResize="1">
          <a:picLocks noChangeAspect="1"/>
        </xdr:cNvPicPr>
      </xdr:nvPicPr>
      <xdr:blipFill>
        <a:blip r:embed="rId5"/>
        <a:stretch>
          <a:fillRect/>
        </a:stretch>
      </xdr:blipFill>
      <xdr:spPr>
        <a:xfrm>
          <a:off x="0" y="22898100"/>
          <a:ext cx="10058400" cy="4067175"/>
        </a:xfrm>
        <a:prstGeom prst="rect">
          <a:avLst/>
        </a:prstGeom>
        <a:noFill/>
        <a:ln w="9525" cmpd="sng">
          <a:noFill/>
        </a:ln>
      </xdr:spPr>
    </xdr:pic>
    <xdr:clientData/>
  </xdr:twoCellAnchor>
  <xdr:twoCellAnchor editAs="oneCell">
    <xdr:from>
      <xdr:col>0</xdr:col>
      <xdr:colOff>0</xdr:colOff>
      <xdr:row>160</xdr:row>
      <xdr:rowOff>0</xdr:rowOff>
    </xdr:from>
    <xdr:to>
      <xdr:col>14</xdr:col>
      <xdr:colOff>457200</xdr:colOff>
      <xdr:row>188</xdr:row>
      <xdr:rowOff>95250</xdr:rowOff>
    </xdr:to>
    <xdr:pic>
      <xdr:nvPicPr>
        <xdr:cNvPr id="6" name="図 6"/>
        <xdr:cNvPicPr preferRelativeResize="1">
          <a:picLocks noChangeAspect="1"/>
        </xdr:cNvPicPr>
      </xdr:nvPicPr>
      <xdr:blipFill>
        <a:blip r:embed="rId6"/>
        <a:stretch>
          <a:fillRect/>
        </a:stretch>
      </xdr:blipFill>
      <xdr:spPr>
        <a:xfrm>
          <a:off x="0" y="27432000"/>
          <a:ext cx="10058400" cy="489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L71"/>
  <sheetViews>
    <sheetView tabSelected="1" zoomScaleSheetLayoutView="100" zoomScalePageLayoutView="0" workbookViewId="0" topLeftCell="A7">
      <selection activeCell="A18" sqref="A18"/>
    </sheetView>
  </sheetViews>
  <sheetFormatPr defaultColWidth="10.00390625" defaultRowHeight="13.5" customHeight="1"/>
  <cols>
    <col min="1" max="1" width="22.75390625" style="0" customWidth="1"/>
    <col min="2" max="2" width="13.625" style="0" customWidth="1"/>
    <col min="3" max="3" width="13.875" style="0" customWidth="1"/>
    <col min="4" max="4" width="15.625" style="0" customWidth="1"/>
    <col min="5" max="5" width="12.375" style="0" customWidth="1"/>
    <col min="6" max="6" width="12.25390625" style="0" customWidth="1"/>
    <col min="7" max="7" width="13.25390625" style="0" customWidth="1"/>
    <col min="8" max="8" width="10.00390625" style="0" customWidth="1"/>
    <col min="9" max="9" width="15.75390625" style="0" customWidth="1"/>
    <col min="10" max="10" width="13.125" style="0" customWidth="1"/>
    <col min="11" max="11" width="15.50390625" style="0" customWidth="1"/>
    <col min="12" max="12" width="17.625" style="0" customWidth="1"/>
  </cols>
  <sheetData>
    <row r="1" spans="1:8" ht="19.5" customHeight="1">
      <c r="A1" s="113"/>
      <c r="B1" s="173" t="s">
        <v>0</v>
      </c>
      <c r="C1" s="174"/>
      <c r="D1" s="175"/>
      <c r="E1" s="112"/>
      <c r="F1" s="176" t="s">
        <v>0</v>
      </c>
      <c r="G1" s="177"/>
      <c r="H1" s="114"/>
    </row>
    <row r="2" spans="1:9" ht="25.5" customHeight="1">
      <c r="A2" s="115" t="s">
        <v>1</v>
      </c>
      <c r="B2" s="178">
        <v>50000</v>
      </c>
      <c r="C2" s="178"/>
      <c r="D2" s="178"/>
      <c r="E2" s="57" t="s">
        <v>2</v>
      </c>
      <c r="F2" s="179">
        <v>42217</v>
      </c>
      <c r="G2" s="180"/>
      <c r="H2" s="39"/>
      <c r="I2" s="39"/>
    </row>
    <row r="3" spans="1:11" ht="27" customHeight="1">
      <c r="A3" s="40" t="s">
        <v>3</v>
      </c>
      <c r="B3" s="181">
        <f>SUM(B2+D17)</f>
        <v>46430</v>
      </c>
      <c r="C3" s="181"/>
      <c r="D3" s="182"/>
      <c r="E3" s="41" t="s">
        <v>4</v>
      </c>
      <c r="F3" s="42">
        <v>0.02</v>
      </c>
      <c r="G3" s="43">
        <f>(B2-D17)*F3</f>
        <v>1071.4</v>
      </c>
      <c r="H3" s="45" t="s">
        <v>5</v>
      </c>
      <c r="I3" s="46">
        <v>0</v>
      </c>
      <c r="K3" s="116"/>
    </row>
    <row r="4" spans="1:9" s="95" customFormat="1" ht="17.25" customHeight="1">
      <c r="A4" s="90"/>
      <c r="B4" s="91"/>
      <c r="C4" s="91"/>
      <c r="D4" s="91"/>
      <c r="E4" s="92"/>
      <c r="F4" s="111" t="s">
        <v>0</v>
      </c>
      <c r="G4" s="91"/>
      <c r="H4" s="93"/>
      <c r="I4" s="94"/>
    </row>
    <row r="5" spans="1:12" ht="19.5" customHeight="1">
      <c r="A5" s="96"/>
      <c r="B5" s="97"/>
      <c r="C5" s="97"/>
      <c r="D5" s="109"/>
      <c r="E5" s="98"/>
      <c r="F5" s="110"/>
      <c r="G5" s="97"/>
      <c r="H5" s="99"/>
      <c r="I5" s="100"/>
      <c r="J5" s="101"/>
      <c r="K5" s="102"/>
      <c r="L5" s="102"/>
    </row>
    <row r="6" spans="1:12" ht="21" customHeight="1">
      <c r="A6" s="106" t="s">
        <v>6</v>
      </c>
      <c r="B6" s="104" t="s">
        <v>0</v>
      </c>
      <c r="C6" s="104" t="s">
        <v>0</v>
      </c>
      <c r="D6" s="105"/>
      <c r="E6" s="104" t="s">
        <v>0</v>
      </c>
      <c r="F6" s="107" t="s">
        <v>0</v>
      </c>
      <c r="G6" s="44"/>
      <c r="H6" s="39"/>
      <c r="I6" s="39"/>
      <c r="L6" s="103"/>
    </row>
    <row r="7" spans="1:12" ht="28.5">
      <c r="A7" s="108" t="s">
        <v>7</v>
      </c>
      <c r="B7" s="51" t="s">
        <v>8</v>
      </c>
      <c r="C7" s="52" t="s">
        <v>9</v>
      </c>
      <c r="D7" s="53" t="s">
        <v>10</v>
      </c>
      <c r="E7" s="54" t="s">
        <v>11</v>
      </c>
      <c r="F7" s="52" t="s">
        <v>12</v>
      </c>
      <c r="G7" s="54" t="s">
        <v>13</v>
      </c>
      <c r="H7" s="53" t="s">
        <v>14</v>
      </c>
      <c r="I7" s="55" t="s">
        <v>15</v>
      </c>
      <c r="J7" s="58" t="s">
        <v>16</v>
      </c>
      <c r="K7" s="52" t="s">
        <v>17</v>
      </c>
      <c r="L7" s="56" t="s">
        <v>18</v>
      </c>
    </row>
    <row r="8" spans="1:12" ht="14.25">
      <c r="A8" s="48">
        <v>42217</v>
      </c>
      <c r="B8" s="59">
        <f>_xlfn.SUMIFS('検証データ'!AA5:AA100,'検証データ'!I5:I100,"&lt;2015/9/1",'検証データ'!V5:V100,"勝ち")</f>
        <v>4024</v>
      </c>
      <c r="C8" s="60">
        <f>_xlfn.SUMIFS('検証データ'!AA5:AA100,'検証データ'!I5:I100,"&lt;2015/9/1",'検証データ'!V5:V100,"負け")</f>
        <v>-7736</v>
      </c>
      <c r="D8" s="78">
        <f aca="true" t="shared" si="0" ref="D8:D16">SUM(B8,C8)</f>
        <v>-3712</v>
      </c>
      <c r="E8" s="61">
        <v>7</v>
      </c>
      <c r="F8" s="62">
        <v>11</v>
      </c>
      <c r="G8" s="61">
        <f aca="true" t="shared" si="1" ref="G8:G16">SUM(E8+F8)</f>
        <v>18</v>
      </c>
      <c r="H8" s="63">
        <f aca="true" t="shared" si="2" ref="H8:H16">E8/G8</f>
        <v>0.3888888888888889</v>
      </c>
      <c r="I8" s="64">
        <f aca="true" t="shared" si="3" ref="I8:I16">B8/E8</f>
        <v>574.8571428571429</v>
      </c>
      <c r="J8" s="64">
        <f aca="true" t="shared" si="4" ref="J8:J16">C8/F8</f>
        <v>-703.2727272727273</v>
      </c>
      <c r="K8" s="65">
        <f aca="true" t="shared" si="5" ref="K8:K16">I8/J8</f>
        <v>-0.8174028660067958</v>
      </c>
      <c r="L8" s="66">
        <f aca="true" t="shared" si="6" ref="L8:L16">B8/C8</f>
        <v>-0.5201654601861427</v>
      </c>
    </row>
    <row r="9" spans="1:12" ht="14.25">
      <c r="A9" s="48">
        <v>42248</v>
      </c>
      <c r="B9" s="67">
        <f>_xlfn.SUMIFS('検証データ'!AA5:AA100,'検証データ'!I5:I100,"&lt;2015/10/1",'検証データ'!V5:V100,"勝ち")-B8</f>
        <v>1927</v>
      </c>
      <c r="C9" s="67">
        <f>_xlfn.SUMIFS('検証データ'!AA5:AA100,'検証データ'!I5:I100,"&lt;2015/10/1",'検証データ'!V5:V100,"勝ち")+C8</f>
        <v>-1785</v>
      </c>
      <c r="D9" s="78">
        <f t="shared" si="0"/>
        <v>142</v>
      </c>
      <c r="E9" s="68"/>
      <c r="F9" s="69"/>
      <c r="G9" s="61">
        <f t="shared" si="1"/>
        <v>0</v>
      </c>
      <c r="H9" s="63" t="e">
        <f t="shared" si="2"/>
        <v>#DIV/0!</v>
      </c>
      <c r="I9" s="64" t="e">
        <f t="shared" si="3"/>
        <v>#DIV/0!</v>
      </c>
      <c r="J9" s="64" t="e">
        <f t="shared" si="4"/>
        <v>#DIV/0!</v>
      </c>
      <c r="K9" s="65" t="e">
        <f t="shared" si="5"/>
        <v>#DIV/0!</v>
      </c>
      <c r="L9" s="66">
        <f t="shared" si="6"/>
        <v>-1.0795518207282913</v>
      </c>
    </row>
    <row r="10" spans="1:12" ht="14.25">
      <c r="A10" s="48">
        <v>42278</v>
      </c>
      <c r="B10" s="67"/>
      <c r="C10" s="68"/>
      <c r="D10" s="78">
        <f t="shared" si="0"/>
        <v>0</v>
      </c>
      <c r="E10" s="69"/>
      <c r="F10" s="69"/>
      <c r="G10" s="61">
        <f t="shared" si="1"/>
        <v>0</v>
      </c>
      <c r="H10" s="63" t="e">
        <f t="shared" si="2"/>
        <v>#DIV/0!</v>
      </c>
      <c r="I10" s="64" t="e">
        <f t="shared" si="3"/>
        <v>#DIV/0!</v>
      </c>
      <c r="J10" s="64" t="e">
        <f t="shared" si="4"/>
        <v>#DIV/0!</v>
      </c>
      <c r="K10" s="65" t="e">
        <f t="shared" si="5"/>
        <v>#DIV/0!</v>
      </c>
      <c r="L10" s="66" t="e">
        <f t="shared" si="6"/>
        <v>#DIV/0!</v>
      </c>
    </row>
    <row r="11" spans="1:12" ht="14.25">
      <c r="A11" s="49">
        <v>42309</v>
      </c>
      <c r="B11" s="67"/>
      <c r="C11" s="68"/>
      <c r="D11" s="78">
        <f t="shared" si="0"/>
        <v>0</v>
      </c>
      <c r="E11" s="69"/>
      <c r="F11" s="69"/>
      <c r="G11" s="61">
        <f t="shared" si="1"/>
        <v>0</v>
      </c>
      <c r="H11" s="63" t="e">
        <f t="shared" si="2"/>
        <v>#DIV/0!</v>
      </c>
      <c r="I11" s="64" t="e">
        <f t="shared" si="3"/>
        <v>#DIV/0!</v>
      </c>
      <c r="J11" s="64" t="e">
        <f t="shared" si="4"/>
        <v>#DIV/0!</v>
      </c>
      <c r="K11" s="65" t="e">
        <f t="shared" si="5"/>
        <v>#DIV/0!</v>
      </c>
      <c r="L11" s="66" t="e">
        <f t="shared" si="6"/>
        <v>#DIV/0!</v>
      </c>
    </row>
    <row r="12" spans="1:12" ht="14.25">
      <c r="A12" s="48">
        <v>42339</v>
      </c>
      <c r="B12" s="67"/>
      <c r="C12" s="60"/>
      <c r="D12" s="78">
        <f t="shared" si="0"/>
        <v>0</v>
      </c>
      <c r="E12" s="69"/>
      <c r="F12" s="69"/>
      <c r="G12" s="61">
        <f t="shared" si="1"/>
        <v>0</v>
      </c>
      <c r="H12" s="63" t="e">
        <f t="shared" si="2"/>
        <v>#DIV/0!</v>
      </c>
      <c r="I12" s="64" t="e">
        <f t="shared" si="3"/>
        <v>#DIV/0!</v>
      </c>
      <c r="J12" s="64" t="e">
        <f t="shared" si="4"/>
        <v>#DIV/0!</v>
      </c>
      <c r="K12" s="65" t="e">
        <f t="shared" si="5"/>
        <v>#DIV/0!</v>
      </c>
      <c r="L12" s="66" t="e">
        <f t="shared" si="6"/>
        <v>#DIV/0!</v>
      </c>
    </row>
    <row r="13" spans="1:12" ht="14.25">
      <c r="A13" s="49">
        <v>42370</v>
      </c>
      <c r="B13" s="67"/>
      <c r="C13" s="68"/>
      <c r="D13" s="78">
        <f t="shared" si="0"/>
        <v>0</v>
      </c>
      <c r="E13" s="69"/>
      <c r="F13" s="69"/>
      <c r="G13" s="61">
        <f t="shared" si="1"/>
        <v>0</v>
      </c>
      <c r="H13" s="63" t="e">
        <f t="shared" si="2"/>
        <v>#DIV/0!</v>
      </c>
      <c r="I13" s="64" t="e">
        <f t="shared" si="3"/>
        <v>#DIV/0!</v>
      </c>
      <c r="J13" s="64" t="e">
        <f t="shared" si="4"/>
        <v>#DIV/0!</v>
      </c>
      <c r="K13" s="65" t="e">
        <f t="shared" si="5"/>
        <v>#DIV/0!</v>
      </c>
      <c r="L13" s="66" t="e">
        <f t="shared" si="6"/>
        <v>#DIV/0!</v>
      </c>
    </row>
    <row r="14" spans="1:12" ht="14.25">
      <c r="A14" s="48">
        <v>42401</v>
      </c>
      <c r="B14" s="67"/>
      <c r="C14" s="60"/>
      <c r="D14" s="78">
        <f t="shared" si="0"/>
        <v>0</v>
      </c>
      <c r="E14" s="69"/>
      <c r="F14" s="69"/>
      <c r="G14" s="61">
        <f t="shared" si="1"/>
        <v>0</v>
      </c>
      <c r="H14" s="63" t="e">
        <f t="shared" si="2"/>
        <v>#DIV/0!</v>
      </c>
      <c r="I14" s="64" t="e">
        <f t="shared" si="3"/>
        <v>#DIV/0!</v>
      </c>
      <c r="J14" s="64" t="e">
        <f t="shared" si="4"/>
        <v>#DIV/0!</v>
      </c>
      <c r="K14" s="65" t="e">
        <f t="shared" si="5"/>
        <v>#DIV/0!</v>
      </c>
      <c r="L14" s="66" t="e">
        <f t="shared" si="6"/>
        <v>#DIV/0!</v>
      </c>
    </row>
    <row r="15" spans="1:12" ht="14.25">
      <c r="A15" s="49">
        <v>42430</v>
      </c>
      <c r="B15" s="67"/>
      <c r="C15" s="60"/>
      <c r="D15" s="78">
        <f t="shared" si="0"/>
        <v>0</v>
      </c>
      <c r="E15" s="69"/>
      <c r="F15" s="69"/>
      <c r="G15" s="61">
        <f t="shared" si="1"/>
        <v>0</v>
      </c>
      <c r="H15" s="63" t="e">
        <f t="shared" si="2"/>
        <v>#DIV/0!</v>
      </c>
      <c r="I15" s="64" t="e">
        <f t="shared" si="3"/>
        <v>#DIV/0!</v>
      </c>
      <c r="J15" s="64" t="e">
        <f t="shared" si="4"/>
        <v>#DIV/0!</v>
      </c>
      <c r="K15" s="65" t="e">
        <f t="shared" si="5"/>
        <v>#DIV/0!</v>
      </c>
      <c r="L15" s="66" t="e">
        <f t="shared" si="6"/>
        <v>#DIV/0!</v>
      </c>
    </row>
    <row r="16" spans="1:12" ht="14.25">
      <c r="A16" s="50">
        <v>42461</v>
      </c>
      <c r="B16" s="70"/>
      <c r="C16" s="71"/>
      <c r="D16" s="78">
        <f t="shared" si="0"/>
        <v>0</v>
      </c>
      <c r="E16" s="72"/>
      <c r="F16" s="72"/>
      <c r="G16" s="73">
        <f t="shared" si="1"/>
        <v>0</v>
      </c>
      <c r="H16" s="74" t="e">
        <f t="shared" si="2"/>
        <v>#DIV/0!</v>
      </c>
      <c r="I16" s="75" t="e">
        <f t="shared" si="3"/>
        <v>#DIV/0!</v>
      </c>
      <c r="J16" s="75" t="e">
        <f t="shared" si="4"/>
        <v>#DIV/0!</v>
      </c>
      <c r="K16" s="76" t="e">
        <f t="shared" si="5"/>
        <v>#DIV/0!</v>
      </c>
      <c r="L16" s="77" t="e">
        <f t="shared" si="6"/>
        <v>#DIV/0!</v>
      </c>
    </row>
    <row r="17" spans="1:12" ht="24.75" customHeight="1">
      <c r="A17" s="79" t="s">
        <v>265</v>
      </c>
      <c r="B17" s="80">
        <f aca="true" t="shared" si="7" ref="B17:G17">SUM(B8:B16)</f>
        <v>5951</v>
      </c>
      <c r="C17" s="81">
        <f t="shared" si="7"/>
        <v>-9521</v>
      </c>
      <c r="D17" s="82">
        <f t="shared" si="7"/>
        <v>-3570</v>
      </c>
      <c r="E17" s="83">
        <f t="shared" si="7"/>
        <v>7</v>
      </c>
      <c r="F17" s="84">
        <f t="shared" si="7"/>
        <v>11</v>
      </c>
      <c r="G17" s="83">
        <f t="shared" si="7"/>
        <v>18</v>
      </c>
      <c r="H17" s="85" t="e">
        <f>AVERAGE(H8:H16)</f>
        <v>#DIV/0!</v>
      </c>
      <c r="I17" s="81" t="e">
        <f>AVERAGE(I8:I16)</f>
        <v>#DIV/0!</v>
      </c>
      <c r="J17" s="81" t="e">
        <f>AVERAGE(J8:J16)</f>
        <v>#DIV/0!</v>
      </c>
      <c r="K17" s="86" t="e">
        <f>AVERAGE(K8:K16)</f>
        <v>#DIV/0!</v>
      </c>
      <c r="L17" s="87" t="e">
        <f>AVERAGE(L8:L16)</f>
        <v>#DIV/0!</v>
      </c>
    </row>
    <row r="18" spans="1:12" ht="13.5">
      <c r="A18" s="47"/>
      <c r="J18" s="88"/>
      <c r="K18" s="89" t="s">
        <v>19</v>
      </c>
      <c r="L18" s="89" t="s">
        <v>20</v>
      </c>
    </row>
    <row r="19" ht="13.5">
      <c r="A19" s="169" t="s">
        <v>266</v>
      </c>
    </row>
    <row r="20" spans="1:9" ht="13.5" customHeight="1">
      <c r="A20" s="166" t="s">
        <v>301</v>
      </c>
      <c r="B20" s="167" t="s">
        <v>296</v>
      </c>
      <c r="C20" s="167" t="s">
        <v>295</v>
      </c>
      <c r="D20" s="167" t="s">
        <v>297</v>
      </c>
      <c r="E20" s="167" t="s">
        <v>300</v>
      </c>
      <c r="F20" s="167" t="s">
        <v>292</v>
      </c>
      <c r="G20" s="167" t="s">
        <v>293</v>
      </c>
      <c r="H20" s="167" t="s">
        <v>294</v>
      </c>
      <c r="I20" s="168" t="s">
        <v>298</v>
      </c>
    </row>
    <row r="21" spans="1:9" ht="13.5" customHeight="1">
      <c r="A21" s="157" t="s">
        <v>267</v>
      </c>
      <c r="B21" s="158">
        <f>_xlfn.SUMIFS('検証データ'!$AA$5:$AA100,'検証データ'!$F$5:$F100,$A21,'検証データ'!$V$5:$V100,"勝ち")</f>
        <v>759</v>
      </c>
      <c r="C21" s="158">
        <f>ABS(_xlfn.SUMIFS('検証データ'!$AA$5:$AA100,'検証データ'!$F$5:$F100,$A21,'検証データ'!$V$5:$V100,"負け"))</f>
        <v>0</v>
      </c>
      <c r="D21" s="158">
        <f>B21-C21</f>
        <v>759</v>
      </c>
      <c r="E21" s="158">
        <f>COUNTIF('検証データ'!$F$5:$F100,A21)</f>
        <v>1</v>
      </c>
      <c r="F21" s="158">
        <f>_xlfn.COUNTIFS('検証データ'!$F$5:$F100,$A21,'検証データ'!$V$5:$V100,"勝ち")</f>
        <v>1</v>
      </c>
      <c r="G21" s="158">
        <f>_xlfn.COUNTIFS('検証データ'!$F$5:$F100,$A21,'検証データ'!$V$5:$V100,"負け")</f>
        <v>0</v>
      </c>
      <c r="H21" s="158">
        <f>_xlfn.COUNTIFS('検証データ'!$F$5:$F100,$A21,'検証データ'!$V$5:$V100,"-")</f>
        <v>0</v>
      </c>
      <c r="I21" s="165">
        <f>IF(F21&gt;0,F21/E21,0)</f>
        <v>1</v>
      </c>
    </row>
    <row r="22" spans="1:9" ht="13.5" customHeight="1">
      <c r="A22" s="159" t="s">
        <v>268</v>
      </c>
      <c r="B22" s="160">
        <f>_xlfn.SUMIFS('検証データ'!$AA$5:$AA101,'検証データ'!$F$5:$F101,$A22,'検証データ'!$V$5:$V101,"勝ち")</f>
        <v>592</v>
      </c>
      <c r="C22" s="158">
        <f>ABS(_xlfn.SUMIFS('検証データ'!$AA$5:$AA101,'検証データ'!$F$5:$F101,$A22,'検証データ'!$V$5:$V101,"負け"))</f>
        <v>639</v>
      </c>
      <c r="D22" s="160">
        <f>B22-C22</f>
        <v>-47</v>
      </c>
      <c r="E22" s="160">
        <f>COUNTIF('検証データ'!$F$5:$F101,A22)</f>
        <v>3</v>
      </c>
      <c r="F22" s="160">
        <f>_xlfn.COUNTIFS('検証データ'!$F$5:$F101,$A22,'検証データ'!$V$5:$V101,"勝ち")</f>
        <v>1</v>
      </c>
      <c r="G22" s="160">
        <f>_xlfn.COUNTIFS('検証データ'!$F$5:$F101,$A22,'検証データ'!$V$5:$V101,"負け")</f>
        <v>1</v>
      </c>
      <c r="H22" s="160">
        <f>_xlfn.COUNTIFS('検証データ'!$F$5:$F101,$A22,'検証データ'!$V$5:$V101,"-")</f>
        <v>0</v>
      </c>
      <c r="I22" s="161">
        <f aca="true" t="shared" si="8" ref="I22:I48">IF(F22&gt;0,F22/E22,0)</f>
        <v>0.3333333333333333</v>
      </c>
    </row>
    <row r="23" spans="1:9" ht="13.5" customHeight="1">
      <c r="A23" s="159" t="s">
        <v>269</v>
      </c>
      <c r="B23" s="160">
        <f>_xlfn.SUMIFS('検証データ'!$AA$5:$AA102,'検証データ'!$F$5:$F102,$A23,'検証データ'!$V$5:$V102,"勝ち")</f>
        <v>45</v>
      </c>
      <c r="C23" s="158">
        <f>ABS(_xlfn.SUMIFS('検証データ'!$AA$5:$AA102,'検証データ'!$F$5:$F102,$A23,'検証データ'!$V$5:$V102,"負け"))</f>
        <v>3801</v>
      </c>
      <c r="D23" s="160">
        <f aca="true" t="shared" si="9" ref="D23:D47">B23-C23</f>
        <v>-3756</v>
      </c>
      <c r="E23" s="160">
        <f>COUNTIF('検証データ'!$F$5:$F102,A23)</f>
        <v>2</v>
      </c>
      <c r="F23" s="160">
        <f>_xlfn.COUNTIFS('検証データ'!$F$5:$F102,$A23,'検証データ'!$V$5:$V102,"勝ち")</f>
        <v>1</v>
      </c>
      <c r="G23" s="160">
        <f>_xlfn.COUNTIFS('検証データ'!$F$5:$F102,$A23,'検証データ'!$V$5:$V102,"負け")</f>
        <v>1</v>
      </c>
      <c r="H23" s="160">
        <f>_xlfn.COUNTIFS('検証データ'!$F$5:$F102,$A23,'検証データ'!$V$5:$V102,"-")</f>
        <v>0</v>
      </c>
      <c r="I23" s="161">
        <f t="shared" si="8"/>
        <v>0.5</v>
      </c>
    </row>
    <row r="24" spans="1:9" ht="13.5" customHeight="1">
      <c r="A24" s="159" t="s">
        <v>270</v>
      </c>
      <c r="B24" s="160">
        <f>_xlfn.SUMIFS('検証データ'!$AA$5:$AA103,'検証データ'!$F$5:$F103,$A24,'検証データ'!$V$5:$V103,"勝ち")</f>
        <v>0</v>
      </c>
      <c r="C24" s="158">
        <f>ABS(_xlfn.SUMIFS('検証データ'!$AA$5:$AA103,'検証データ'!$F$5:$F103,$A24,'検証データ'!$V$5:$V103,"負け"))</f>
        <v>0</v>
      </c>
      <c r="D24" s="160">
        <f t="shared" si="9"/>
        <v>0</v>
      </c>
      <c r="E24" s="160">
        <f>COUNTIF('検証データ'!$F$5:$F103,A24)</f>
        <v>0</v>
      </c>
      <c r="F24" s="160">
        <f>_xlfn.COUNTIFS('検証データ'!$F$5:$F103,$A24,'検証データ'!$V$5:$V103,"勝ち")</f>
        <v>0</v>
      </c>
      <c r="G24" s="160">
        <f>_xlfn.COUNTIFS('検証データ'!$F$5:$F103,$A24,'検証データ'!$V$5:$V103,"負け")</f>
        <v>0</v>
      </c>
      <c r="H24" s="160">
        <f>_xlfn.COUNTIFS('検証データ'!$F$5:$F103,$A24,'検証データ'!$V$5:$V103,"-")</f>
        <v>0</v>
      </c>
      <c r="I24" s="161">
        <f t="shared" si="8"/>
        <v>0</v>
      </c>
    </row>
    <row r="25" spans="1:9" ht="13.5" customHeight="1">
      <c r="A25" s="159" t="s">
        <v>271</v>
      </c>
      <c r="B25" s="160">
        <f>_xlfn.SUMIFS('検証データ'!$AA$5:$AA104,'検証データ'!$F$5:$F104,$A25,'検証データ'!$V$5:$V104,"勝ち")</f>
        <v>0</v>
      </c>
      <c r="C25" s="158">
        <f>ABS(_xlfn.SUMIFS('検証データ'!$AA$5:$AA104,'検証データ'!$F$5:$F104,$A25,'検証データ'!$V$5:$V104,"負け"))</f>
        <v>0</v>
      </c>
      <c r="D25" s="160">
        <f t="shared" si="9"/>
        <v>0</v>
      </c>
      <c r="E25" s="160">
        <f>COUNTIF('検証データ'!$F$5:$F104,A25)</f>
        <v>0</v>
      </c>
      <c r="F25" s="160">
        <f>_xlfn.COUNTIFS('検証データ'!$F$5:$F104,$A25,'検証データ'!$V$5:$V104,"勝ち")</f>
        <v>0</v>
      </c>
      <c r="G25" s="160">
        <f>_xlfn.COUNTIFS('検証データ'!$F$5:$F104,$A25,'検証データ'!$V$5:$V104,"負け")</f>
        <v>0</v>
      </c>
      <c r="H25" s="160">
        <f>_xlfn.COUNTIFS('検証データ'!$F$5:$F104,$A25,'検証データ'!$V$5:$V104,"-")</f>
        <v>0</v>
      </c>
      <c r="I25" s="161">
        <f t="shared" si="8"/>
        <v>0</v>
      </c>
    </row>
    <row r="26" spans="1:9" ht="13.5" customHeight="1">
      <c r="A26" s="159" t="s">
        <v>263</v>
      </c>
      <c r="B26" s="160">
        <f>_xlfn.SUMIFS('検証データ'!$AA$5:$AA105,'検証データ'!$F$5:$F105,$A26,'検証データ'!$V$5:$V105,"勝ち")</f>
        <v>276</v>
      </c>
      <c r="C26" s="158">
        <f>ABS(_xlfn.SUMIFS('検証データ'!$AA$5:$AA105,'検証データ'!$F$5:$F105,$A26,'検証データ'!$V$5:$V105,"負け"))</f>
        <v>0</v>
      </c>
      <c r="D26" s="160">
        <f t="shared" si="9"/>
        <v>276</v>
      </c>
      <c r="E26" s="160">
        <f>COUNTIF('検証データ'!$F$5:$F105,A26)</f>
        <v>2</v>
      </c>
      <c r="F26" s="160">
        <f>_xlfn.COUNTIFS('検証データ'!$F$5:$F105,$A26,'検証データ'!$V$5:$V105,"勝ち")</f>
        <v>1</v>
      </c>
      <c r="G26" s="160">
        <f>_xlfn.COUNTIFS('検証データ'!$F$5:$F105,$A26,'検証データ'!$V$5:$V105,"負け")</f>
        <v>1</v>
      </c>
      <c r="H26" s="160">
        <f>_xlfn.COUNTIFS('検証データ'!$F$5:$F105,$A26,'検証データ'!$V$5:$V105,"-")</f>
        <v>0</v>
      </c>
      <c r="I26" s="161">
        <f t="shared" si="8"/>
        <v>0.5</v>
      </c>
    </row>
    <row r="27" spans="1:9" ht="13.5" customHeight="1">
      <c r="A27" s="159" t="s">
        <v>272</v>
      </c>
      <c r="B27" s="160">
        <f>_xlfn.SUMIFS('検証データ'!$AA$5:$AA106,'検証データ'!$F$5:$F106,$A27,'検証データ'!$V$5:$V106,"勝ち")</f>
        <v>962</v>
      </c>
      <c r="C27" s="158">
        <f>ABS(_xlfn.SUMIFS('検証データ'!$AA$5:$AA106,'検証データ'!$F$5:$F106,$A27,'検証データ'!$V$5:$V106,"負け"))</f>
        <v>297</v>
      </c>
      <c r="D27" s="160">
        <f t="shared" si="9"/>
        <v>665</v>
      </c>
      <c r="E27" s="160">
        <f>COUNTIF('検証データ'!$F$5:$F106,A27)</f>
        <v>6</v>
      </c>
      <c r="F27" s="160">
        <f>_xlfn.COUNTIFS('検証データ'!$F$5:$F106,$A27,'検証データ'!$V$5:$V106,"勝ち")</f>
        <v>3</v>
      </c>
      <c r="G27" s="160">
        <f>_xlfn.COUNTIFS('検証データ'!$F$5:$F106,$A27,'検証データ'!$V$5:$V106,"負け")</f>
        <v>1</v>
      </c>
      <c r="H27" s="160">
        <f>_xlfn.COUNTIFS('検証データ'!$F$5:$F106,$A27,'検証データ'!$V$5:$V106,"-")</f>
        <v>0</v>
      </c>
      <c r="I27" s="161">
        <f t="shared" si="8"/>
        <v>0.5</v>
      </c>
    </row>
    <row r="28" spans="1:9" ht="13.5" customHeight="1">
      <c r="A28" s="159" t="s">
        <v>273</v>
      </c>
      <c r="B28" s="160">
        <f>_xlfn.SUMIFS('検証データ'!$AA$5:$AA107,'検証データ'!$F$5:$F107,$A28,'検証データ'!$V$5:$V107,"勝ち")</f>
        <v>746</v>
      </c>
      <c r="C28" s="158">
        <f>ABS(_xlfn.SUMIFS('検証データ'!$AA$5:$AA107,'検証データ'!$F$5:$F107,$A28,'検証データ'!$V$5:$V107,"負け"))</f>
        <v>1192</v>
      </c>
      <c r="D28" s="160">
        <f t="shared" si="9"/>
        <v>-446</v>
      </c>
      <c r="E28" s="160">
        <f>COUNTIF('検証データ'!$F$5:$F107,A28)</f>
        <v>5</v>
      </c>
      <c r="F28" s="160">
        <f>_xlfn.COUNTIFS('検証データ'!$F$5:$F107,$A28,'検証データ'!$V$5:$V107,"勝ち")</f>
        <v>2</v>
      </c>
      <c r="G28" s="160">
        <f>_xlfn.COUNTIFS('検証データ'!$F$5:$F107,$A28,'検証データ'!$V$5:$V107,"負け")</f>
        <v>2</v>
      </c>
      <c r="H28" s="160">
        <f>_xlfn.COUNTIFS('検証データ'!$F$5:$F107,$A28,'検証データ'!$V$5:$V107,"-")</f>
        <v>1</v>
      </c>
      <c r="I28" s="161">
        <f t="shared" si="8"/>
        <v>0.4</v>
      </c>
    </row>
    <row r="29" spans="1:9" ht="13.5" customHeight="1">
      <c r="A29" s="159" t="s">
        <v>274</v>
      </c>
      <c r="B29" s="160">
        <f>_xlfn.SUMIFS('検証データ'!$AA$5:$AA108,'検証データ'!$F$5:$F108,$A29,'検証データ'!$V$5:$V108,"勝ち")</f>
        <v>0</v>
      </c>
      <c r="C29" s="158">
        <f>ABS(_xlfn.SUMIFS('検証データ'!$AA$5:$AA108,'検証データ'!$F$5:$F108,$A29,'検証データ'!$V$5:$V108,"負け"))</f>
        <v>0</v>
      </c>
      <c r="D29" s="160">
        <f t="shared" si="9"/>
        <v>0</v>
      </c>
      <c r="E29" s="160">
        <f>COUNTIF('検証データ'!$F$5:$F108,A29)</f>
        <v>0</v>
      </c>
      <c r="F29" s="160">
        <f>_xlfn.COUNTIFS('検証データ'!$F$5:$F108,$A29,'検証データ'!$V$5:$V108,"勝ち")</f>
        <v>0</v>
      </c>
      <c r="G29" s="160">
        <f>_xlfn.COUNTIFS('検証データ'!$F$5:$F108,$A29,'検証データ'!$V$5:$V108,"負け")</f>
        <v>0</v>
      </c>
      <c r="H29" s="160">
        <f>_xlfn.COUNTIFS('検証データ'!$F$5:$F108,$A29,'検証データ'!$V$5:$V108,"-")</f>
        <v>0</v>
      </c>
      <c r="I29" s="161">
        <f t="shared" si="8"/>
        <v>0</v>
      </c>
    </row>
    <row r="30" spans="1:9" ht="13.5" customHeight="1">
      <c r="A30" s="159" t="s">
        <v>275</v>
      </c>
      <c r="B30" s="160">
        <f>_xlfn.SUMIFS('検証データ'!$AA$5:$AA109,'検証データ'!$F$5:$F109,$A30,'検証データ'!$V$5:$V109,"勝ち")</f>
        <v>0</v>
      </c>
      <c r="C30" s="158">
        <f>ABS(_xlfn.SUMIFS('検証データ'!$AA$5:$AA109,'検証データ'!$F$5:$F109,$A30,'検証データ'!$V$5:$V109,"負け"))</f>
        <v>346</v>
      </c>
      <c r="D30" s="160">
        <f t="shared" si="9"/>
        <v>-346</v>
      </c>
      <c r="E30" s="160">
        <f>COUNTIF('検証データ'!$F$5:$F109,A30)</f>
        <v>1</v>
      </c>
      <c r="F30" s="160">
        <f>_xlfn.COUNTIFS('検証データ'!$F$5:$F109,$A30,'検証データ'!$V$5:$V109,"勝ち")</f>
        <v>0</v>
      </c>
      <c r="G30" s="160">
        <f>_xlfn.COUNTIFS('検証データ'!$F$5:$F109,$A30,'検証データ'!$V$5:$V109,"負け")</f>
        <v>1</v>
      </c>
      <c r="H30" s="160">
        <f>_xlfn.COUNTIFS('検証データ'!$F$5:$F109,$A30,'検証データ'!$V$5:$V109,"-")</f>
        <v>0</v>
      </c>
      <c r="I30" s="161">
        <f t="shared" si="8"/>
        <v>0</v>
      </c>
    </row>
    <row r="31" spans="1:9" ht="13.5" customHeight="1">
      <c r="A31" s="159" t="s">
        <v>276</v>
      </c>
      <c r="B31" s="160">
        <f>_xlfn.SUMIFS('検証データ'!$AA$5:$AA110,'検証データ'!$F$5:$F110,$A31,'検証データ'!$V$5:$V110,"勝ち")</f>
        <v>0</v>
      </c>
      <c r="C31" s="158">
        <f>ABS(_xlfn.SUMIFS('検証データ'!$AA$5:$AA110,'検証データ'!$F$5:$F110,$A31,'検証データ'!$V$5:$V110,"負け"))</f>
        <v>0</v>
      </c>
      <c r="D31" s="160">
        <f t="shared" si="9"/>
        <v>0</v>
      </c>
      <c r="E31" s="160">
        <f>COUNTIF('検証データ'!$F$5:$F110,A31)</f>
        <v>0</v>
      </c>
      <c r="F31" s="160">
        <f>_xlfn.COUNTIFS('検証データ'!$F$5:$F110,$A31,'検証データ'!$V$5:$V110,"勝ち")</f>
        <v>0</v>
      </c>
      <c r="G31" s="160">
        <f>_xlfn.COUNTIFS('検証データ'!$F$5:$F110,$A31,'検証データ'!$V$5:$V110,"負け")</f>
        <v>0</v>
      </c>
      <c r="H31" s="160">
        <f>_xlfn.COUNTIFS('検証データ'!$F$5:$F110,$A31,'検証データ'!$V$5:$V110,"-")</f>
        <v>0</v>
      </c>
      <c r="I31" s="161">
        <f t="shared" si="8"/>
        <v>0</v>
      </c>
    </row>
    <row r="32" spans="1:9" ht="13.5" customHeight="1">
      <c r="A32" s="159" t="s">
        <v>277</v>
      </c>
      <c r="B32" s="160">
        <f>_xlfn.SUMIFS('検証データ'!$AA$5:$AA111,'検証データ'!$F$5:$F111,$A32,'検証データ'!$V$5:$V111,"勝ち")</f>
        <v>958</v>
      </c>
      <c r="C32" s="158">
        <f>ABS(_xlfn.SUMIFS('検証データ'!$AA$5:$AA111,'検証データ'!$F$5:$F111,$A32,'検証データ'!$V$5:$V111,"負け"))</f>
        <v>2</v>
      </c>
      <c r="D32" s="160">
        <f t="shared" si="9"/>
        <v>956</v>
      </c>
      <c r="E32" s="160">
        <f>COUNTIF('検証データ'!$F$5:$F111,A32)</f>
        <v>4</v>
      </c>
      <c r="F32" s="160">
        <f>_xlfn.COUNTIFS('検証データ'!$F$5:$F111,$A32,'検証データ'!$V$5:$V111,"勝ち")</f>
        <v>2</v>
      </c>
      <c r="G32" s="160">
        <f>_xlfn.COUNTIFS('検証データ'!$F$5:$F111,$A32,'検証データ'!$V$5:$V111,"負け")</f>
        <v>1</v>
      </c>
      <c r="H32" s="160">
        <f>_xlfn.COUNTIFS('検証データ'!$F$5:$F111,$A32,'検証データ'!$V$5:$V111,"-")</f>
        <v>1</v>
      </c>
      <c r="I32" s="161">
        <f t="shared" si="8"/>
        <v>0.5</v>
      </c>
    </row>
    <row r="33" spans="1:9" ht="13.5" customHeight="1">
      <c r="A33" s="159" t="s">
        <v>278</v>
      </c>
      <c r="B33" s="160">
        <f>_xlfn.SUMIFS('検証データ'!$AA$5:$AA112,'検証データ'!$F$5:$F112,$A33,'検証データ'!$V$5:$V112,"勝ち")</f>
        <v>818</v>
      </c>
      <c r="C33" s="158">
        <f>ABS(_xlfn.SUMIFS('検証データ'!$AA$5:$AA112,'検証データ'!$F$5:$F112,$A33,'検証データ'!$V$5:$V112,"負け"))</f>
        <v>152</v>
      </c>
      <c r="D33" s="160">
        <f t="shared" si="9"/>
        <v>666</v>
      </c>
      <c r="E33" s="160">
        <f>COUNTIF('検証データ'!$F$5:$F112,A33)</f>
        <v>3</v>
      </c>
      <c r="F33" s="160">
        <f>_xlfn.COUNTIFS('検証データ'!$F$5:$F112,$A33,'検証データ'!$V$5:$V112,"勝ち")</f>
        <v>2</v>
      </c>
      <c r="G33" s="160">
        <f>_xlfn.COUNTIFS('検証データ'!$F$5:$F112,$A33,'検証データ'!$V$5:$V112,"負け")</f>
        <v>1</v>
      </c>
      <c r="H33" s="160">
        <f>_xlfn.COUNTIFS('検証データ'!$F$5:$F112,$A33,'検証データ'!$V$5:$V112,"-")</f>
        <v>0</v>
      </c>
      <c r="I33" s="161">
        <f t="shared" si="8"/>
        <v>0.6666666666666666</v>
      </c>
    </row>
    <row r="34" spans="1:9" ht="13.5" customHeight="1">
      <c r="A34" s="159" t="s">
        <v>279</v>
      </c>
      <c r="B34" s="160">
        <f>_xlfn.SUMIFS('検証データ'!$AA$5:$AA113,'検証データ'!$F$5:$F113,$A34,'検証データ'!$V$5:$V113,"勝ち")</f>
        <v>0</v>
      </c>
      <c r="C34" s="158">
        <f>ABS(_xlfn.SUMIFS('検証データ'!$AA$5:$AA113,'検証データ'!$F$5:$F113,$A34,'検証データ'!$V$5:$V113,"負け"))</f>
        <v>255</v>
      </c>
      <c r="D34" s="160">
        <f t="shared" si="9"/>
        <v>-255</v>
      </c>
      <c r="E34" s="160">
        <f>COUNTIF('検証データ'!$F$5:$F113,A34)</f>
        <v>1</v>
      </c>
      <c r="F34" s="160">
        <f>_xlfn.COUNTIFS('検証データ'!$F$5:$F113,$A34,'検証データ'!$V$5:$V113,"勝ち")</f>
        <v>0</v>
      </c>
      <c r="G34" s="160">
        <f>_xlfn.COUNTIFS('検証データ'!$F$5:$F113,$A34,'検証データ'!$V$5:$V113,"負け")</f>
        <v>1</v>
      </c>
      <c r="H34" s="160">
        <f>_xlfn.COUNTIFS('検証データ'!$F$5:$F113,$A34,'検証データ'!$V$5:$V113,"-")</f>
        <v>0</v>
      </c>
      <c r="I34" s="161">
        <f t="shared" si="8"/>
        <v>0</v>
      </c>
    </row>
    <row r="35" spans="1:9" ht="13.5" customHeight="1">
      <c r="A35" s="159" t="s">
        <v>280</v>
      </c>
      <c r="B35" s="160">
        <f>_xlfn.SUMIFS('検証データ'!$AA$5:$AA114,'検証データ'!$F$5:$F114,$A35,'検証データ'!$V$5:$V114,"勝ち")</f>
        <v>0</v>
      </c>
      <c r="C35" s="158">
        <f>ABS(_xlfn.SUMIFS('検証データ'!$AA$5:$AA114,'検証データ'!$F$5:$F114,$A35,'検証データ'!$V$5:$V114,"負け"))</f>
        <v>0</v>
      </c>
      <c r="D35" s="160">
        <f t="shared" si="9"/>
        <v>0</v>
      </c>
      <c r="E35" s="160">
        <f>COUNTIF('検証データ'!$F$5:$F114,A35)</f>
        <v>0</v>
      </c>
      <c r="F35" s="160">
        <f>_xlfn.COUNTIFS('検証データ'!$F$5:$F114,$A35,'検証データ'!$V$5:$V114,"勝ち")</f>
        <v>0</v>
      </c>
      <c r="G35" s="160">
        <f>_xlfn.COUNTIFS('検証データ'!$F$5:$F114,$A35,'検証データ'!$V$5:$V114,"負け")</f>
        <v>0</v>
      </c>
      <c r="H35" s="160">
        <f>_xlfn.COUNTIFS('検証データ'!$F$5:$F114,$A35,'検証データ'!$V$5:$V114,"-")</f>
        <v>0</v>
      </c>
      <c r="I35" s="161">
        <f t="shared" si="8"/>
        <v>0</v>
      </c>
    </row>
    <row r="36" spans="1:9" ht="13.5" customHeight="1">
      <c r="A36" s="159" t="s">
        <v>281</v>
      </c>
      <c r="B36" s="160">
        <f>_xlfn.SUMIFS('検証データ'!$AA$5:$AA115,'検証データ'!$F$5:$F115,$A36,'検証データ'!$V$5:$V115,"勝ち")</f>
        <v>0</v>
      </c>
      <c r="C36" s="158">
        <f>ABS(_xlfn.SUMIFS('検証データ'!$AA$5:$AA115,'検証データ'!$F$5:$F115,$A36,'検証データ'!$V$5:$V115,"負け"))</f>
        <v>0</v>
      </c>
      <c r="D36" s="160">
        <f t="shared" si="9"/>
        <v>0</v>
      </c>
      <c r="E36" s="160">
        <f>COUNTIF('検証データ'!$F$5:$F115,A36)</f>
        <v>0</v>
      </c>
      <c r="F36" s="160">
        <f>_xlfn.COUNTIFS('検証データ'!$F$5:$F115,$A36,'検証データ'!$V$5:$V115,"勝ち")</f>
        <v>0</v>
      </c>
      <c r="G36" s="160">
        <f>_xlfn.COUNTIFS('検証データ'!$F$5:$F115,$A36,'検証データ'!$V$5:$V115,"負け")</f>
        <v>0</v>
      </c>
      <c r="H36" s="160">
        <f>_xlfn.COUNTIFS('検証データ'!$F$5:$F115,$A36,'検証データ'!$V$5:$V115,"-")</f>
        <v>0</v>
      </c>
      <c r="I36" s="161">
        <f t="shared" si="8"/>
        <v>0</v>
      </c>
    </row>
    <row r="37" spans="1:9" ht="13.5" customHeight="1">
      <c r="A37" s="159" t="s">
        <v>282</v>
      </c>
      <c r="B37" s="160">
        <f>_xlfn.SUMIFS('検証データ'!$AA$5:$AA116,'検証データ'!$F$5:$F116,$A37,'検証データ'!$V$5:$V116,"勝ち")</f>
        <v>1</v>
      </c>
      <c r="C37" s="158">
        <f>ABS(_xlfn.SUMIFS('検証データ'!$AA$5:$AA116,'検証データ'!$F$5:$F116,$A37,'検証データ'!$V$5:$V116,"負け"))</f>
        <v>846</v>
      </c>
      <c r="D37" s="160">
        <f t="shared" si="9"/>
        <v>-845</v>
      </c>
      <c r="E37" s="160">
        <f>COUNTIF('検証データ'!$F$5:$F116,A37)</f>
        <v>2</v>
      </c>
      <c r="F37" s="160">
        <f>_xlfn.COUNTIFS('検証データ'!$F$5:$F116,$A37,'検証データ'!$V$5:$V116,"勝ち")</f>
        <v>1</v>
      </c>
      <c r="G37" s="160">
        <f>_xlfn.COUNTIFS('検証データ'!$F$5:$F116,$A37,'検証データ'!$V$5:$V116,"負け")</f>
        <v>1</v>
      </c>
      <c r="H37" s="160">
        <f>_xlfn.COUNTIFS('検証データ'!$F$5:$F116,$A37,'検証データ'!$V$5:$V116,"-")</f>
        <v>0</v>
      </c>
      <c r="I37" s="161">
        <f t="shared" si="8"/>
        <v>0.5</v>
      </c>
    </row>
    <row r="38" spans="1:9" ht="13.5" customHeight="1">
      <c r="A38" s="159" t="s">
        <v>283</v>
      </c>
      <c r="B38" s="160">
        <f>_xlfn.SUMIFS('検証データ'!$AA$5:$AA117,'検証データ'!$F$5:$F117,$A38,'検証データ'!$V$5:$V117,"勝ち")</f>
        <v>0</v>
      </c>
      <c r="C38" s="158">
        <f>ABS(_xlfn.SUMIFS('検証データ'!$AA$5:$AA117,'検証データ'!$F$5:$F117,$A38,'検証データ'!$V$5:$V117,"負け"))</f>
        <v>0</v>
      </c>
      <c r="D38" s="160">
        <f t="shared" si="9"/>
        <v>0</v>
      </c>
      <c r="E38" s="160">
        <f>COUNTIF('検証データ'!$F$5:$F117,A38)</f>
        <v>0</v>
      </c>
      <c r="F38" s="160">
        <f>_xlfn.COUNTIFS('検証データ'!$F$5:$F117,$A38,'検証データ'!$V$5:$V117,"勝ち")</f>
        <v>0</v>
      </c>
      <c r="G38" s="160">
        <f>_xlfn.COUNTIFS('検証データ'!$F$5:$F117,$A38,'検証データ'!$V$5:$V117,"負け")</f>
        <v>0</v>
      </c>
      <c r="H38" s="160">
        <f>_xlfn.COUNTIFS('検証データ'!$F$5:$F117,$A38,'検証データ'!$V$5:$V117,"-")</f>
        <v>0</v>
      </c>
      <c r="I38" s="161">
        <f t="shared" si="8"/>
        <v>0</v>
      </c>
    </row>
    <row r="39" spans="1:9" ht="13.5" customHeight="1">
      <c r="A39" s="159" t="s">
        <v>163</v>
      </c>
      <c r="B39" s="160">
        <f>_xlfn.SUMIFS('検証データ'!$AA$5:$AA118,'検証データ'!$F$5:$F118,$A39,'検証データ'!$V$5:$V118,"勝ち")</f>
        <v>0</v>
      </c>
      <c r="C39" s="158">
        <f>ABS(_xlfn.SUMIFS('検証データ'!$AA$5:$AA118,'検証データ'!$F$5:$F118,$A39,'検証データ'!$V$5:$V118,"負け"))</f>
        <v>466</v>
      </c>
      <c r="D39" s="160">
        <f t="shared" si="9"/>
        <v>-466</v>
      </c>
      <c r="E39" s="160">
        <f>COUNTIF('検証データ'!$F$5:$F118,A39)</f>
        <v>2</v>
      </c>
      <c r="F39" s="160">
        <f>_xlfn.COUNTIFS('検証データ'!$F$5:$F118,$A39,'検証データ'!$V$5:$V118,"勝ち")</f>
        <v>0</v>
      </c>
      <c r="G39" s="160">
        <f>_xlfn.COUNTIFS('検証データ'!$F$5:$F118,$A39,'検証データ'!$V$5:$V118,"負け")</f>
        <v>2</v>
      </c>
      <c r="H39" s="160">
        <f>_xlfn.COUNTIFS('検証データ'!$F$5:$F118,$A39,'検証データ'!$V$5:$V118,"-")</f>
        <v>0</v>
      </c>
      <c r="I39" s="161">
        <f t="shared" si="8"/>
        <v>0</v>
      </c>
    </row>
    <row r="40" spans="1:9" ht="13.5" customHeight="1">
      <c r="A40" s="159" t="s">
        <v>284</v>
      </c>
      <c r="B40" s="160">
        <f>_xlfn.SUMIFS('検証データ'!$AA$5:$AA119,'検証データ'!$F$5:$F119,$A40,'検証データ'!$V$5:$V119,"勝ち")</f>
        <v>0</v>
      </c>
      <c r="C40" s="158">
        <f>ABS(_xlfn.SUMIFS('検証データ'!$AA$5:$AA119,'検証データ'!$F$5:$F119,$A40,'検証データ'!$V$5:$V119,"負け"))</f>
        <v>0</v>
      </c>
      <c r="D40" s="160">
        <f t="shared" si="9"/>
        <v>0</v>
      </c>
      <c r="E40" s="160">
        <f>COUNTIF('検証データ'!$F$5:$F119,A40)</f>
        <v>0</v>
      </c>
      <c r="F40" s="160">
        <f>_xlfn.COUNTIFS('検証データ'!$F$5:$F119,$A40,'検証データ'!$V$5:$V119,"勝ち")</f>
        <v>0</v>
      </c>
      <c r="G40" s="160">
        <f>_xlfn.COUNTIFS('検証データ'!$F$5:$F119,$A40,'検証データ'!$V$5:$V119,"負け")</f>
        <v>0</v>
      </c>
      <c r="H40" s="160">
        <f>_xlfn.COUNTIFS('検証データ'!$F$5:$F119,$A40,'検証データ'!$V$5:$V119,"-")</f>
        <v>0</v>
      </c>
      <c r="I40" s="161">
        <f t="shared" si="8"/>
        <v>0</v>
      </c>
    </row>
    <row r="41" spans="1:11" ht="13.5" customHeight="1">
      <c r="A41" s="159" t="s">
        <v>285</v>
      </c>
      <c r="B41" s="160">
        <f>_xlfn.SUMIFS('検証データ'!$AA$5:$AA120,'検証データ'!$F$5:$F120,$A41,'検証データ'!$V$5:$V120,"勝ち")</f>
        <v>794</v>
      </c>
      <c r="C41" s="158">
        <f>ABS(_xlfn.SUMIFS('検証データ'!$AA$5:$AA120,'検証データ'!$F$5:$F120,$A41,'検証データ'!$V$5:$V120,"負け"))</f>
        <v>0</v>
      </c>
      <c r="D41" s="160">
        <f t="shared" si="9"/>
        <v>794</v>
      </c>
      <c r="E41" s="160">
        <f>COUNTIF('検証データ'!$F$5:$F120,A41)</f>
        <v>1</v>
      </c>
      <c r="F41" s="160">
        <f>_xlfn.COUNTIFS('検証データ'!$F$5:$F120,$A41,'検証データ'!$V$5:$V120,"勝ち")</f>
        <v>1</v>
      </c>
      <c r="G41" s="160">
        <f>_xlfn.COUNTIFS('検証データ'!$F$5:$F120,$A41,'検証データ'!$V$5:$V120,"負け")</f>
        <v>0</v>
      </c>
      <c r="H41" s="160">
        <f>_xlfn.COUNTIFS('検証データ'!$F$5:$F120,$A41,'検証データ'!$V$5:$V120,"-")</f>
        <v>0</v>
      </c>
      <c r="I41" s="161">
        <f t="shared" si="8"/>
        <v>1</v>
      </c>
      <c r="K41" t="s">
        <v>314</v>
      </c>
    </row>
    <row r="42" spans="1:9" ht="13.5" customHeight="1">
      <c r="A42" s="159" t="s">
        <v>286</v>
      </c>
      <c r="B42" s="160">
        <f>_xlfn.SUMIFS('検証データ'!$AA$5:$AA121,'検証データ'!$F$5:$F121,$A42,'検証データ'!$V$5:$V121,"勝ち")</f>
        <v>0</v>
      </c>
      <c r="C42" s="158">
        <f>ABS(_xlfn.SUMIFS('検証データ'!$AA$5:$AA121,'検証データ'!$F$5:$F121,$A42,'検証データ'!$V$5:$V121,"負け"))</f>
        <v>0</v>
      </c>
      <c r="D42" s="160">
        <f t="shared" si="9"/>
        <v>0</v>
      </c>
      <c r="E42" s="160">
        <f>COUNTIF('検証データ'!$F$5:$F121,A42)</f>
        <v>0</v>
      </c>
      <c r="F42" s="160">
        <f>_xlfn.COUNTIFS('検証データ'!$F$5:$F121,$A42,'検証データ'!$V$5:$V121,"勝ち")</f>
        <v>0</v>
      </c>
      <c r="G42" s="160">
        <f>_xlfn.COUNTIFS('検証データ'!$F$5:$F121,$A42,'検証データ'!$V$5:$V121,"負け")</f>
        <v>0</v>
      </c>
      <c r="H42" s="160">
        <f>_xlfn.COUNTIFS('検証データ'!$F$5:$F121,$A42,'検証データ'!$V$5:$V121,"-")</f>
        <v>0</v>
      </c>
      <c r="I42" s="161">
        <f t="shared" si="8"/>
        <v>0</v>
      </c>
    </row>
    <row r="43" spans="1:9" ht="13.5" customHeight="1">
      <c r="A43" s="159" t="s">
        <v>287</v>
      </c>
      <c r="B43" s="160">
        <f>_xlfn.SUMIFS('検証データ'!$AA$5:$AA122,'検証データ'!$F$5:$F122,$A43,'検証データ'!$V$5:$V122,"勝ち")</f>
        <v>0</v>
      </c>
      <c r="C43" s="158">
        <f>ABS(_xlfn.SUMIFS('検証データ'!$AA$5:$AA122,'検証データ'!$F$5:$F122,$A43,'検証データ'!$V$5:$V122,"負け"))</f>
        <v>0</v>
      </c>
      <c r="D43" s="160">
        <f t="shared" si="9"/>
        <v>0</v>
      </c>
      <c r="E43" s="160">
        <f>COUNTIF('検証データ'!$F$5:$F122,A43)</f>
        <v>1</v>
      </c>
      <c r="F43" s="160">
        <f>_xlfn.COUNTIFS('検証データ'!$F$5:$F122,$A43,'検証データ'!$V$5:$V122,"勝ち")</f>
        <v>0</v>
      </c>
      <c r="G43" s="160">
        <f>_xlfn.COUNTIFS('検証データ'!$F$5:$F122,$A43,'検証データ'!$V$5:$V122,"負け")</f>
        <v>0</v>
      </c>
      <c r="H43" s="160">
        <f>_xlfn.COUNTIFS('検証データ'!$F$5:$F122,$A43,'検証データ'!$V$5:$V122,"-")</f>
        <v>0</v>
      </c>
      <c r="I43" s="161">
        <f t="shared" si="8"/>
        <v>0</v>
      </c>
    </row>
    <row r="44" spans="1:9" ht="13.5" customHeight="1">
      <c r="A44" s="159" t="s">
        <v>288</v>
      </c>
      <c r="B44" s="160">
        <f>_xlfn.SUMIFS('検証データ'!$AA$5:$AA123,'検証データ'!$F$5:$F123,$A44,'検証データ'!$V$5:$V123,"勝ち")</f>
        <v>0</v>
      </c>
      <c r="C44" s="158">
        <f>ABS(_xlfn.SUMIFS('検証データ'!$AA$5:$AA123,'検証データ'!$F$5:$F123,$A44,'検証データ'!$V$5:$V123,"負け"))</f>
        <v>892</v>
      </c>
      <c r="D44" s="160">
        <f t="shared" si="9"/>
        <v>-892</v>
      </c>
      <c r="E44" s="160">
        <f>COUNTIF('検証データ'!$F$5:$F123,A44)</f>
        <v>1</v>
      </c>
      <c r="F44" s="160">
        <f>_xlfn.COUNTIFS('検証データ'!$F$5:$F123,$A44,'検証データ'!$V$5:$V123,"勝ち")</f>
        <v>0</v>
      </c>
      <c r="G44" s="160">
        <f>_xlfn.COUNTIFS('検証データ'!$F$5:$F123,$A44,'検証データ'!$V$5:$V123,"負け")</f>
        <v>1</v>
      </c>
      <c r="H44" s="160">
        <f>_xlfn.COUNTIFS('検証データ'!$F$5:$F123,$A44,'検証データ'!$V$5:$V123,"-")</f>
        <v>0</v>
      </c>
      <c r="I44" s="161">
        <f t="shared" si="8"/>
        <v>0</v>
      </c>
    </row>
    <row r="45" spans="1:9" ht="13.5" customHeight="1">
      <c r="A45" s="159" t="s">
        <v>289</v>
      </c>
      <c r="B45" s="160">
        <f>_xlfn.SUMIFS('検証データ'!$AA$5:$AA124,'検証データ'!$F$5:$F124,$A45,'検証データ'!$V$5:$V124,"勝ち")</f>
        <v>0</v>
      </c>
      <c r="C45" s="158">
        <f>ABS(_xlfn.SUMIFS('検証データ'!$AA$5:$AA124,'検証データ'!$F$5:$F124,$A45,'検証データ'!$V$5:$V124,"負け"))</f>
        <v>0</v>
      </c>
      <c r="D45" s="160">
        <f t="shared" si="9"/>
        <v>0</v>
      </c>
      <c r="E45" s="160">
        <f>COUNTIF('検証データ'!$F$5:$F124,A45)</f>
        <v>0</v>
      </c>
      <c r="F45" s="160">
        <f>_xlfn.COUNTIFS('検証データ'!$F$5:$F124,$A45,'検証データ'!$V$5:$V124,"勝ち")</f>
        <v>0</v>
      </c>
      <c r="G45" s="160">
        <f>_xlfn.COUNTIFS('検証データ'!$F$5:$F124,$A45,'検証データ'!$V$5:$V124,"負け")</f>
        <v>0</v>
      </c>
      <c r="H45" s="160">
        <f>_xlfn.COUNTIFS('検証データ'!$F$5:$F124,$A45,'検証データ'!$V$5:$V124,"-")</f>
        <v>0</v>
      </c>
      <c r="I45" s="161">
        <f t="shared" si="8"/>
        <v>0</v>
      </c>
    </row>
    <row r="46" spans="1:9" ht="13.5" customHeight="1">
      <c r="A46" s="159" t="s">
        <v>290</v>
      </c>
      <c r="B46" s="160">
        <f>_xlfn.SUMIFS('検証データ'!$AA$5:$AA125,'検証データ'!$F$5:$F125,$A46,'検証データ'!$V$5:$V125,"勝ち")</f>
        <v>0</v>
      </c>
      <c r="C46" s="158">
        <f>ABS(_xlfn.SUMIFS('検証データ'!$AA$5:$AA125,'検証データ'!$F$5:$F125,$A46,'検証データ'!$V$5:$V125,"負け"))</f>
        <v>0</v>
      </c>
      <c r="D46" s="160">
        <f t="shared" si="9"/>
        <v>0</v>
      </c>
      <c r="E46" s="160">
        <f>COUNTIF('検証データ'!$F$5:$F125,A46)</f>
        <v>0</v>
      </c>
      <c r="F46" s="160">
        <f>_xlfn.COUNTIFS('検証データ'!$F$5:$F125,$A46,'検証データ'!$V$5:$V125,"勝ち")</f>
        <v>0</v>
      </c>
      <c r="G46" s="160">
        <f>_xlfn.COUNTIFS('検証データ'!$F$5:$F125,$A46,'検証データ'!$V$5:$V125,"負け")</f>
        <v>0</v>
      </c>
      <c r="H46" s="160">
        <f>_xlfn.COUNTIFS('検証データ'!$F$5:$F125,$A46,'検証データ'!$V$5:$V125,"-")</f>
        <v>0</v>
      </c>
      <c r="I46" s="161">
        <f t="shared" si="8"/>
        <v>0</v>
      </c>
    </row>
    <row r="47" spans="1:9" ht="13.5" customHeight="1">
      <c r="A47" s="159" t="s">
        <v>291</v>
      </c>
      <c r="B47" s="160">
        <f>_xlfn.SUMIFS('検証データ'!$AA$5:$AA126,'検証データ'!$F$5:$F126,$A47,'検証データ'!$V$5:$V126,"勝ち")</f>
        <v>0</v>
      </c>
      <c r="C47" s="158">
        <f>ABS(_xlfn.SUMIFS('検証データ'!$AA$5:$AA126,'検証データ'!$F$5:$F126,$A47,'検証データ'!$V$5:$V126,"負け"))</f>
        <v>0</v>
      </c>
      <c r="D47" s="160">
        <f t="shared" si="9"/>
        <v>0</v>
      </c>
      <c r="E47" s="160">
        <f>COUNTIF('検証データ'!$F$5:$F126,A47)</f>
        <v>0</v>
      </c>
      <c r="F47" s="160">
        <f>_xlfn.COUNTIFS('検証データ'!$F$5:$F126,$A47,'検証データ'!$V$5:$V126,"勝ち")</f>
        <v>0</v>
      </c>
      <c r="G47" s="160">
        <f>_xlfn.COUNTIFS('検証データ'!$F$5:$F126,$A47,'検証データ'!$V$5:$V126,"負け")</f>
        <v>0</v>
      </c>
      <c r="H47" s="160">
        <f>_xlfn.COUNTIFS('検証データ'!$F$5:$F126,$A47,'検証データ'!$V$5:$V126,"-")</f>
        <v>0</v>
      </c>
      <c r="I47" s="161">
        <f t="shared" si="8"/>
        <v>0</v>
      </c>
    </row>
    <row r="48" spans="1:9" ht="13.5" customHeight="1">
      <c r="A48" s="162" t="s">
        <v>176</v>
      </c>
      <c r="B48" s="163">
        <f>_xlfn.SUMIFS('検証データ'!$AA$5:$AA127,'検証データ'!$F$5:$F127,$A48,'検証データ'!$V$5:$V127,"勝ち")</f>
        <v>0</v>
      </c>
      <c r="C48" s="163">
        <f>ABS(_xlfn.SUMIFS('検証データ'!$AA$5:$AA127,'検証データ'!$F$5:$F127,$A48,'検証データ'!$V$5:$V127,"負け"))</f>
        <v>0</v>
      </c>
      <c r="D48" s="163">
        <f>B48-C48</f>
        <v>0</v>
      </c>
      <c r="E48" s="163">
        <f>COUNTIF('検証データ'!$F$5:$F127,A48)</f>
        <v>1</v>
      </c>
      <c r="F48" s="163">
        <f>_xlfn.COUNTIFS('検証データ'!$F$5:$F127,$A48,'検証データ'!$V$5:$V127,"勝ち")</f>
        <v>0</v>
      </c>
      <c r="G48" s="163">
        <f>_xlfn.COUNTIFS('検証データ'!$F$5:$F127,$A48,'検証データ'!$V$5:$V127,"負け")</f>
        <v>0</v>
      </c>
      <c r="H48" s="163">
        <f>_xlfn.COUNTIFS('検証データ'!$F$5:$F127,$A48,'検証データ'!$V$5:$V127,"-")</f>
        <v>0</v>
      </c>
      <c r="I48" s="164">
        <f t="shared" si="8"/>
        <v>0</v>
      </c>
    </row>
    <row r="49" spans="1:10" ht="13.5" customHeight="1">
      <c r="A49" s="143" t="s">
        <v>299</v>
      </c>
      <c r="B49">
        <f>SUM(B21:B48)</f>
        <v>5951</v>
      </c>
      <c r="C49">
        <f>SUM(C21:C48)</f>
        <v>8888</v>
      </c>
      <c r="D49">
        <f>B49-C49</f>
        <v>-2937</v>
      </c>
      <c r="E49">
        <f>SUM(E21:E48)</f>
        <v>36</v>
      </c>
      <c r="F49">
        <f>SUM(F21:F48)</f>
        <v>15</v>
      </c>
      <c r="G49">
        <f>SUM(G21:G48)</f>
        <v>14</v>
      </c>
      <c r="H49">
        <f>SUM(H21:H48)</f>
        <v>2</v>
      </c>
      <c r="I49" s="155">
        <f>AVERAGE(I21:I48)</f>
        <v>0.2107142857142857</v>
      </c>
      <c r="J49" t="s">
        <v>302</v>
      </c>
    </row>
    <row r="50" spans="9:10" ht="13.5" customHeight="1">
      <c r="I50" s="170">
        <f>F49/E49</f>
        <v>0.4166666666666667</v>
      </c>
      <c r="J50" t="s">
        <v>303</v>
      </c>
    </row>
    <row r="53" ht="13.5" customHeight="1">
      <c r="A53" s="143" t="s">
        <v>88</v>
      </c>
    </row>
    <row r="54" ht="13.5" customHeight="1">
      <c r="A54" t="s">
        <v>83</v>
      </c>
    </row>
    <row r="55" ht="13.5" customHeight="1">
      <c r="A55" s="144" t="s">
        <v>95</v>
      </c>
    </row>
    <row r="57" ht="13.5" customHeight="1">
      <c r="A57" t="s">
        <v>84</v>
      </c>
    </row>
    <row r="58" ht="13.5" customHeight="1">
      <c r="A58" s="144" t="s">
        <v>96</v>
      </c>
    </row>
    <row r="60" ht="13.5" customHeight="1">
      <c r="A60" t="s">
        <v>85</v>
      </c>
    </row>
    <row r="61" ht="13.5" customHeight="1">
      <c r="A61" t="s">
        <v>83</v>
      </c>
    </row>
    <row r="62" ht="13.5" customHeight="1">
      <c r="A62" t="s">
        <v>86</v>
      </c>
    </row>
    <row r="64" ht="13.5" customHeight="1">
      <c r="A64" t="s">
        <v>84</v>
      </c>
    </row>
    <row r="65" ht="13.5" customHeight="1">
      <c r="A65" t="s">
        <v>87</v>
      </c>
    </row>
    <row r="67" ht="13.5" customHeight="1">
      <c r="A67" t="s">
        <v>97</v>
      </c>
    </row>
    <row r="68" ht="13.5" customHeight="1">
      <c r="A68" t="s">
        <v>99</v>
      </c>
    </row>
    <row r="70" ht="13.5" customHeight="1">
      <c r="A70" t="s">
        <v>100</v>
      </c>
    </row>
    <row r="71" ht="13.5" customHeight="1">
      <c r="A71" t="s">
        <v>101</v>
      </c>
    </row>
  </sheetData>
  <sheetProtection/>
  <mergeCells count="5">
    <mergeCell ref="B1:D1"/>
    <mergeCell ref="F1:G1"/>
    <mergeCell ref="B2:D2"/>
    <mergeCell ref="F2:G2"/>
    <mergeCell ref="B3:D3"/>
  </mergeCells>
  <printOptions/>
  <pageMargins left="0.6986111111111111" right="0.6986111111111111" top="0.75" bottom="0.75" header="0.3" footer="0.3"/>
  <pageSetup horizontalDpi="1200" verticalDpi="1200"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B5:I34"/>
  <sheetViews>
    <sheetView zoomScalePageLayoutView="0" workbookViewId="0" topLeftCell="A1">
      <selection activeCell="A1" sqref="A1"/>
    </sheetView>
  </sheetViews>
  <sheetFormatPr defaultColWidth="9.00390625" defaultRowHeight="13.5"/>
  <cols>
    <col min="2" max="2" width="17.25390625" style="0" bestFit="1" customWidth="1"/>
    <col min="5" max="5" width="15.625" style="0" bestFit="1" customWidth="1"/>
    <col min="6" max="6" width="2.50390625" style="0" bestFit="1" customWidth="1"/>
    <col min="7" max="7" width="4.625" style="0" bestFit="1" customWidth="1"/>
    <col min="8" max="8" width="4.375" style="0" bestFit="1" customWidth="1"/>
    <col min="9" max="9" width="8.25390625" style="0" bestFit="1" customWidth="1"/>
  </cols>
  <sheetData>
    <row r="4" ht="14.25" thickBot="1"/>
    <row r="5" spans="2:8" ht="14.25" thickBot="1">
      <c r="B5" s="183" t="s">
        <v>28</v>
      </c>
      <c r="C5" s="184"/>
      <c r="E5" s="185" t="s">
        <v>29</v>
      </c>
      <c r="F5" s="186"/>
      <c r="G5" s="25" t="s">
        <v>30</v>
      </c>
      <c r="H5" s="28" t="s">
        <v>31</v>
      </c>
    </row>
    <row r="6" spans="2:8" ht="13.5">
      <c r="B6" s="5" t="s">
        <v>32</v>
      </c>
      <c r="C6" s="6"/>
      <c r="E6" s="5"/>
      <c r="F6" s="12"/>
      <c r="G6" s="18"/>
      <c r="H6" s="21"/>
    </row>
    <row r="7" spans="2:8" ht="13.5">
      <c r="B7" s="2" t="s">
        <v>33</v>
      </c>
      <c r="C7" s="1"/>
      <c r="E7" s="2"/>
      <c r="F7" s="14"/>
      <c r="G7" s="19"/>
      <c r="H7" s="15"/>
    </row>
    <row r="8" spans="2:8" ht="13.5">
      <c r="B8" s="2" t="s">
        <v>34</v>
      </c>
      <c r="C8" s="1"/>
      <c r="E8" s="2"/>
      <c r="F8" s="14"/>
      <c r="G8" s="19"/>
      <c r="H8" s="15"/>
    </row>
    <row r="9" spans="2:8" ht="13.5">
      <c r="B9" s="2" t="s">
        <v>35</v>
      </c>
      <c r="C9" s="1"/>
      <c r="E9" s="2"/>
      <c r="F9" s="14"/>
      <c r="G9" s="19"/>
      <c r="H9" s="15"/>
    </row>
    <row r="10" spans="2:8" ht="13.5">
      <c r="B10" s="2" t="s">
        <v>36</v>
      </c>
      <c r="C10" s="1"/>
      <c r="E10" s="2"/>
      <c r="F10" s="14"/>
      <c r="G10" s="19"/>
      <c r="H10" s="15"/>
    </row>
    <row r="11" spans="2:8" ht="13.5">
      <c r="B11" s="2" t="s">
        <v>37</v>
      </c>
      <c r="C11" s="4"/>
      <c r="E11" s="2"/>
      <c r="F11" s="14"/>
      <c r="G11" s="19"/>
      <c r="H11" s="15"/>
    </row>
    <row r="12" spans="2:8" ht="13.5">
      <c r="B12" s="2" t="s">
        <v>38</v>
      </c>
      <c r="C12" s="1"/>
      <c r="E12" s="2"/>
      <c r="F12" s="14"/>
      <c r="G12" s="19"/>
      <c r="H12" s="15"/>
    </row>
    <row r="13" spans="2:8" ht="13.5">
      <c r="B13" s="8" t="s">
        <v>39</v>
      </c>
      <c r="C13" s="9"/>
      <c r="E13" s="2"/>
      <c r="F13" s="14"/>
      <c r="G13" s="19"/>
      <c r="H13" s="15"/>
    </row>
    <row r="14" spans="2:8" ht="13.5">
      <c r="B14" s="2" t="s">
        <v>40</v>
      </c>
      <c r="C14" s="1"/>
      <c r="E14" s="2"/>
      <c r="F14" s="14"/>
      <c r="G14" s="19"/>
      <c r="H14" s="15"/>
    </row>
    <row r="15" spans="2:8" ht="13.5">
      <c r="B15" s="2" t="s">
        <v>41</v>
      </c>
      <c r="C15" s="4"/>
      <c r="E15" s="2"/>
      <c r="F15" s="14"/>
      <c r="G15" s="19"/>
      <c r="H15" s="15"/>
    </row>
    <row r="16" spans="2:8" ht="13.5">
      <c r="B16" s="2" t="s">
        <v>42</v>
      </c>
      <c r="C16" s="1"/>
      <c r="E16" s="5"/>
      <c r="F16" s="12"/>
      <c r="G16" s="18"/>
      <c r="H16" s="13"/>
    </row>
    <row r="17" spans="2:8" ht="13.5">
      <c r="B17" s="2" t="s">
        <v>15</v>
      </c>
      <c r="C17" s="10"/>
      <c r="E17" s="2"/>
      <c r="F17" s="14"/>
      <c r="G17" s="19"/>
      <c r="H17" s="15"/>
    </row>
    <row r="18" spans="2:8" ht="13.5">
      <c r="B18" s="2" t="s">
        <v>16</v>
      </c>
      <c r="C18" s="10"/>
      <c r="E18" s="2"/>
      <c r="F18" s="14"/>
      <c r="G18" s="19"/>
      <c r="H18" s="15"/>
    </row>
    <row r="19" spans="2:8" ht="13.5">
      <c r="B19" s="2" t="s">
        <v>43</v>
      </c>
      <c r="C19" s="1"/>
      <c r="E19" s="2"/>
      <c r="F19" s="14"/>
      <c r="G19" s="19"/>
      <c r="H19" s="15"/>
    </row>
    <row r="20" spans="2:8" ht="13.5">
      <c r="B20" s="2" t="s">
        <v>44</v>
      </c>
      <c r="C20" s="1"/>
      <c r="E20" s="2"/>
      <c r="F20" s="14"/>
      <c r="G20" s="19"/>
      <c r="H20" s="15"/>
    </row>
    <row r="21" spans="2:8" ht="13.5">
      <c r="B21" s="2" t="s">
        <v>45</v>
      </c>
      <c r="C21" s="11"/>
      <c r="E21" s="2"/>
      <c r="F21" s="14"/>
      <c r="G21" s="19"/>
      <c r="H21" s="15"/>
    </row>
    <row r="22" spans="2:8" ht="14.25" thickBot="1">
      <c r="B22" s="3" t="s">
        <v>14</v>
      </c>
      <c r="C22" s="7"/>
      <c r="E22" s="2"/>
      <c r="F22" s="14"/>
      <c r="G22" s="19"/>
      <c r="H22" s="15"/>
    </row>
    <row r="23" spans="5:8" ht="13.5">
      <c r="E23" s="2"/>
      <c r="F23" s="14"/>
      <c r="G23" s="19"/>
      <c r="H23" s="15"/>
    </row>
    <row r="24" spans="5:8" ht="14.25" thickBot="1">
      <c r="E24" s="3"/>
      <c r="F24" s="16"/>
      <c r="G24" s="20"/>
      <c r="H24" s="17"/>
    </row>
    <row r="25" spans="5:8" ht="14.25" thickBot="1">
      <c r="E25" s="35" t="s">
        <v>27</v>
      </c>
      <c r="F25" s="38">
        <f>SUM(F6:F24)</f>
        <v>0</v>
      </c>
      <c r="G25" s="38">
        <f>SUM(G6:G24)</f>
        <v>0</v>
      </c>
      <c r="H25" s="38">
        <f>SUM(H6:H24)</f>
        <v>0</v>
      </c>
    </row>
    <row r="27" ht="14.25" thickBot="1"/>
    <row r="28" spans="5:9" ht="14.25" thickBot="1">
      <c r="E28" s="185" t="s">
        <v>46</v>
      </c>
      <c r="F28" s="186"/>
      <c r="G28" s="25" t="s">
        <v>30</v>
      </c>
      <c r="H28" s="26" t="s">
        <v>31</v>
      </c>
      <c r="I28" s="27" t="s">
        <v>47</v>
      </c>
    </row>
    <row r="29" spans="5:9" ht="13.5">
      <c r="E29" s="5" t="s">
        <v>48</v>
      </c>
      <c r="F29" s="12">
        <v>0</v>
      </c>
      <c r="G29" s="18">
        <v>0</v>
      </c>
      <c r="H29" s="22">
        <v>0</v>
      </c>
      <c r="I29" s="23">
        <v>0</v>
      </c>
    </row>
    <row r="30" spans="5:9" ht="13.5">
      <c r="E30" s="2" t="s">
        <v>49</v>
      </c>
      <c r="F30" s="14">
        <v>0</v>
      </c>
      <c r="G30" s="14">
        <v>0</v>
      </c>
      <c r="H30" s="19">
        <v>0</v>
      </c>
      <c r="I30" s="24">
        <v>0</v>
      </c>
    </row>
    <row r="31" spans="5:9" ht="13.5">
      <c r="E31" s="2" t="s">
        <v>50</v>
      </c>
      <c r="F31" s="14">
        <v>0</v>
      </c>
      <c r="G31" s="14">
        <v>0</v>
      </c>
      <c r="H31" s="19">
        <v>0</v>
      </c>
      <c r="I31" s="24">
        <v>0</v>
      </c>
    </row>
    <row r="32" spans="5:9" ht="13.5">
      <c r="E32" s="2" t="s">
        <v>51</v>
      </c>
      <c r="F32" s="14">
        <v>0</v>
      </c>
      <c r="G32" s="14">
        <v>0</v>
      </c>
      <c r="H32" s="19">
        <v>0</v>
      </c>
      <c r="I32" s="24">
        <v>0</v>
      </c>
    </row>
    <row r="33" spans="5:9" ht="14.25" thickBot="1">
      <c r="E33" s="30" t="s">
        <v>52</v>
      </c>
      <c r="F33" s="31">
        <v>0</v>
      </c>
      <c r="G33" s="31">
        <v>0</v>
      </c>
      <c r="H33" s="32">
        <v>0</v>
      </c>
      <c r="I33" s="33">
        <v>0</v>
      </c>
    </row>
    <row r="34" spans="5:9" ht="14.25" thickBot="1">
      <c r="E34" s="29" t="s">
        <v>27</v>
      </c>
      <c r="F34" s="29"/>
      <c r="G34" s="29"/>
      <c r="H34" s="34"/>
      <c r="I34" s="117">
        <f>SUM(I29:I33)</f>
        <v>0</v>
      </c>
    </row>
  </sheetData>
  <sheetProtection/>
  <mergeCells count="3">
    <mergeCell ref="B5:C5"/>
    <mergeCell ref="E5:F5"/>
    <mergeCell ref="E28:F2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AB114"/>
  <sheetViews>
    <sheetView zoomScale="70" zoomScaleNormal="70" zoomScaleSheetLayoutView="100" zoomScalePageLayoutView="0" workbookViewId="0" topLeftCell="A1">
      <pane xSplit="4" ySplit="4" topLeftCell="E8" activePane="bottomRight" state="frozen"/>
      <selection pane="topLeft" activeCell="A1" sqref="A1"/>
      <selection pane="topRight" activeCell="E1" sqref="E1"/>
      <selection pane="bottomLeft" activeCell="A3" sqref="A3"/>
      <selection pane="bottomRight" activeCell="F43" sqref="F43"/>
    </sheetView>
  </sheetViews>
  <sheetFormatPr defaultColWidth="10.00390625" defaultRowHeight="13.5" customHeight="1"/>
  <cols>
    <col min="1" max="1" width="3.375" style="0" bestFit="1" customWidth="1"/>
    <col min="2" max="2" width="7.75390625" style="0" customWidth="1"/>
    <col min="3" max="3" width="7.625" style="0" bestFit="1" customWidth="1"/>
    <col min="4" max="4" width="8.50390625" style="0" bestFit="1" customWidth="1"/>
    <col min="5" max="5" width="5.50390625" style="0" bestFit="1" customWidth="1"/>
    <col min="6" max="6" width="9.50390625" style="0" bestFit="1" customWidth="1"/>
    <col min="7" max="7" width="4.125" style="0" customWidth="1"/>
    <col min="8" max="8" width="5.25390625" style="0" bestFit="1" customWidth="1"/>
    <col min="9" max="9" width="16.125" style="0" bestFit="1" customWidth="1"/>
    <col min="10" max="10" width="8.50390625" style="0" bestFit="1" customWidth="1"/>
    <col min="11" max="11" width="36.125" style="0" bestFit="1" customWidth="1"/>
    <col min="12" max="12" width="8.50390625" style="0" bestFit="1" customWidth="1"/>
    <col min="13" max="13" width="8.50390625" style="0" customWidth="1"/>
    <col min="14" max="14" width="6.625" style="0" bestFit="1" customWidth="1"/>
    <col min="15" max="15" width="11.50390625" style="0" hidden="1" customWidth="1"/>
    <col min="16" max="16" width="7.625" style="0" bestFit="1" customWidth="1"/>
    <col min="17" max="17" width="5.25390625" style="0" bestFit="1" customWidth="1"/>
    <col min="18" max="18" width="5.625" style="0" bestFit="1" customWidth="1"/>
    <col min="19" max="19" width="16.875" style="0" bestFit="1" customWidth="1"/>
    <col min="20" max="20" width="8.50390625" style="0" bestFit="1" customWidth="1"/>
    <col min="21" max="21" width="14.75390625" style="0" bestFit="1" customWidth="1"/>
    <col min="22" max="22" width="6.75390625" style="0" bestFit="1" customWidth="1"/>
    <col min="23" max="23" width="10.50390625" style="0" bestFit="1" customWidth="1"/>
    <col min="24" max="24" width="8.50390625" style="0" bestFit="1" customWidth="1"/>
    <col min="25" max="25" width="8.25390625" style="0" bestFit="1" customWidth="1"/>
    <col min="26" max="26" width="7.50390625" style="0" bestFit="1" customWidth="1"/>
  </cols>
  <sheetData>
    <row r="1" spans="5:11" ht="13.5" customHeight="1">
      <c r="E1" t="str">
        <f>"トレード数 "&amp;COUNTA(R5:R97)</f>
        <v>トレード数 32</v>
      </c>
      <c r="G1" t="str">
        <f>"勝ち "&amp;COUNTIF(AA5:AA97,"&gt;0")</f>
        <v>勝ち 13</v>
      </c>
      <c r="I1" t="str">
        <f>"勝ちPips "&amp;SUMIF(V5:V58,"勝ち",X5:X58)</f>
        <v>勝ちPips 578.3</v>
      </c>
      <c r="J1" t="str">
        <f>"勝率　"&amp;ROUNDDOWN(COUNTIF(AA5:AA97,"&gt;0")/COUNTA(R5:R97),2)*100&amp;"%"</f>
        <v>勝率　40%</v>
      </c>
      <c r="K1" t="str">
        <f>"利益 "&amp;SUMIF(V5:V31,"勝ち",AA5:AA100)</f>
        <v>利益 4024</v>
      </c>
    </row>
    <row r="2" spans="7:11" ht="13.5" customHeight="1">
      <c r="G2" t="str">
        <f>"負け "&amp;COUNTIF(AA5:AA97,"&lt;0")</f>
        <v>負け 17</v>
      </c>
      <c r="I2" t="s">
        <v>187</v>
      </c>
      <c r="K2" s="155" t="str">
        <f>"損失 "&amp;SUMIF(V5:V31,"負け",AA5:AA100)</f>
        <v>損失 -8022</v>
      </c>
    </row>
    <row r="3" spans="1:21" ht="13.5" customHeight="1" thickBot="1">
      <c r="A3" s="190" t="s">
        <v>78</v>
      </c>
      <c r="B3" s="191"/>
      <c r="C3" s="191"/>
      <c r="D3" s="191"/>
      <c r="E3" s="191"/>
      <c r="F3" s="192"/>
      <c r="G3" s="189" t="s">
        <v>76</v>
      </c>
      <c r="H3" s="189"/>
      <c r="I3" s="189"/>
      <c r="J3" s="189"/>
      <c r="K3" s="189"/>
      <c r="L3" s="189"/>
      <c r="M3" s="189"/>
      <c r="N3" s="189"/>
      <c r="O3" s="189"/>
      <c r="P3" s="189"/>
      <c r="Q3" s="189"/>
      <c r="R3" s="187" t="s">
        <v>72</v>
      </c>
      <c r="S3" s="188"/>
      <c r="T3" s="188"/>
      <c r="U3" s="188"/>
    </row>
    <row r="4" spans="1:27" ht="41.25" thickBot="1">
      <c r="A4" s="131" t="s">
        <v>69</v>
      </c>
      <c r="B4" s="130" t="s">
        <v>117</v>
      </c>
      <c r="C4" s="130" t="s">
        <v>70</v>
      </c>
      <c r="D4" s="130" t="s">
        <v>80</v>
      </c>
      <c r="E4" s="131" t="s">
        <v>71</v>
      </c>
      <c r="F4" s="132" t="s">
        <v>21</v>
      </c>
      <c r="G4" s="141" t="s">
        <v>366</v>
      </c>
      <c r="H4" s="135" t="s">
        <v>22</v>
      </c>
      <c r="I4" s="135" t="s">
        <v>73</v>
      </c>
      <c r="J4" s="135" t="s">
        <v>74</v>
      </c>
      <c r="K4" s="135" t="s">
        <v>77</v>
      </c>
      <c r="L4" s="135" t="s">
        <v>81</v>
      </c>
      <c r="M4" s="141" t="s">
        <v>365</v>
      </c>
      <c r="N4" s="141" t="s">
        <v>82</v>
      </c>
      <c r="O4" s="141" t="s">
        <v>98</v>
      </c>
      <c r="P4" s="141" t="s">
        <v>102</v>
      </c>
      <c r="Q4" s="141" t="s">
        <v>103</v>
      </c>
      <c r="R4" s="133" t="s">
        <v>366</v>
      </c>
      <c r="S4" s="134" t="s">
        <v>73</v>
      </c>
      <c r="T4" s="134" t="s">
        <v>74</v>
      </c>
      <c r="U4" s="134" t="s">
        <v>75</v>
      </c>
      <c r="V4" s="129" t="s">
        <v>23</v>
      </c>
      <c r="W4" s="129" t="s">
        <v>79</v>
      </c>
      <c r="X4" s="36" t="s">
        <v>24</v>
      </c>
      <c r="Y4" s="118" t="s">
        <v>25</v>
      </c>
      <c r="Z4" s="37" t="s">
        <v>26</v>
      </c>
      <c r="AA4" s="152" t="s">
        <v>115</v>
      </c>
    </row>
    <row r="5" spans="1:27" ht="13.5" customHeight="1">
      <c r="A5" s="138">
        <f>IF($F5&lt;&gt;"",ROW()-4,"")</f>
        <v>1</v>
      </c>
      <c r="B5" s="138">
        <v>50000</v>
      </c>
      <c r="C5" s="140">
        <f>'ルール＆合計'!$F$3</f>
        <v>0.02</v>
      </c>
      <c r="D5" s="139">
        <f>B5*C5</f>
        <v>1000</v>
      </c>
      <c r="E5" s="142">
        <v>1000</v>
      </c>
      <c r="F5" s="136" t="s">
        <v>104</v>
      </c>
      <c r="G5" s="136" t="s">
        <v>105</v>
      </c>
      <c r="H5" s="136" t="s">
        <v>106</v>
      </c>
      <c r="I5" s="127">
        <v>42234.00347222222</v>
      </c>
      <c r="J5">
        <v>0.97499</v>
      </c>
      <c r="K5" s="136" t="s">
        <v>107</v>
      </c>
      <c r="L5" s="125">
        <v>0.977541</v>
      </c>
      <c r="M5" s="136">
        <v>127.35</v>
      </c>
      <c r="N5" s="138">
        <f>IF(L5&lt;&gt;"",ABS(L5-J5)/IF(RIGHT(F5,3)="JPY",0.01,0.0001),"")</f>
        <v>25.5099999999997</v>
      </c>
      <c r="O5" s="149">
        <f>IF(N5&lt;&gt;"",D5/N5,"")</f>
        <v>39.20031360250928</v>
      </c>
      <c r="P5" s="138">
        <f>IF(O5&lt;&gt;"",ROUNDDOWN(D5/N5/IF(RIGHT(F5,3)="JPY",100,M5)*J5,2),"")</f>
        <v>0.3</v>
      </c>
      <c r="Q5">
        <v>1</v>
      </c>
      <c r="R5" s="136"/>
      <c r="S5" s="145"/>
      <c r="T5">
        <v>0.97499</v>
      </c>
      <c r="U5" t="s">
        <v>111</v>
      </c>
      <c r="V5" s="137">
        <f>IF(S5&lt;&gt;"",IF(H5="買",IF(W5&gt;0,"勝ち",IF(W5=0,"-","負け")),IF(H5="売",IF(W5&gt;0,"負け",IF(W5=0,"-","勝ち")))),"")</f>
      </c>
      <c r="W5" s="172">
        <f>IF(T5&lt;&gt;"",IF(LEFT(H5,1)="買",T5-J5,IF(LEFT(H5,1)="売",J5-T5)),"")</f>
        <v>0</v>
      </c>
      <c r="X5" s="138">
        <f>IF(V5&lt;&gt;"",ABS(IF(V5="勝ち",W5/IF(RIGHT(F5,3)="JPY",0.01,0.0001),0)),"")</f>
      </c>
      <c r="Y5" s="148">
        <f>IF(V5&lt;&gt;"",IF(V5="負け",W5/IF(RIGHT(F5,3)="JPY",0.01,0.0001),0),"")</f>
      </c>
      <c r="Z5" s="138">
        <f>IF(V5&lt;&gt;"",ROUNDUP(IF(V5="勝ち",IF(W5&gt;0,W5*E5,ABS(W5*E5)),IF(V5="負け",IF(W5&gt;0,(W5*E5)*-1,W5*E5))),0)*Q5,"")</f>
      </c>
      <c r="AA5">
        <v>0</v>
      </c>
    </row>
    <row r="6" spans="1:27" ht="13.5">
      <c r="A6" s="138">
        <f aca="true" t="shared" si="0" ref="A6:A69">IF($F6&lt;&gt;"",ROW()-4,"")</f>
        <v>2</v>
      </c>
      <c r="B6" s="138">
        <f>IF(H6&lt;&gt;"",B5+AA5,"")</f>
        <v>50000</v>
      </c>
      <c r="C6" s="140">
        <f>'ルール＆合計'!$F$3</f>
        <v>0.02</v>
      </c>
      <c r="D6" s="139">
        <f aca="true" t="shared" si="1" ref="D6:D69">B6*C6</f>
        <v>1000</v>
      </c>
      <c r="E6">
        <v>1000</v>
      </c>
      <c r="F6" s="136" t="s">
        <v>134</v>
      </c>
      <c r="G6" s="136" t="s">
        <v>108</v>
      </c>
      <c r="H6" t="s">
        <v>106</v>
      </c>
      <c r="I6" s="151">
        <v>42234.42569444444</v>
      </c>
      <c r="J6">
        <v>1.10766</v>
      </c>
      <c r="K6" t="s">
        <v>114</v>
      </c>
      <c r="L6">
        <v>1.10789</v>
      </c>
      <c r="M6">
        <v>124.448</v>
      </c>
      <c r="N6" s="138">
        <f>IF(L6&lt;&gt;"",ABS(L6-J6)/IF(RIGHT(F6,3)="JPY",0.01,0.0001),"")</f>
        <v>2.2999999999995246</v>
      </c>
      <c r="O6" s="149">
        <f>IF(N6&lt;&gt;"",D6/N6,"")</f>
        <v>434.78260869574206</v>
      </c>
      <c r="P6" s="138">
        <f>IF(O6&lt;&gt;"",ROUNDDOWN(D6/N6/IF(RIGHT(F6,3)="JPY",100,M6)*J6,2),"")</f>
        <v>3.86</v>
      </c>
      <c r="Q6">
        <v>5</v>
      </c>
      <c r="R6" s="136" t="s">
        <v>109</v>
      </c>
      <c r="S6" s="145">
        <v>42234.44236111111</v>
      </c>
      <c r="T6">
        <v>1.10789</v>
      </c>
      <c r="U6" t="s">
        <v>110</v>
      </c>
      <c r="V6" s="137" t="str">
        <f>IF(S6&lt;&gt;"",IF(H6="買",IF(W6&gt;0,"勝ち",IF(W6&gt;0,"-","負け")),IF(H6="売",IF(W6&lt;0,"負け",IF(W6=0,"-","勝ち")))),"")</f>
        <v>負け</v>
      </c>
      <c r="W6" s="172">
        <f>IF(T6&lt;&gt;"",IF(LEFT(H6,1)="買",T6-J6,IF(LEFT(H6,1)="売",J6-T6)),"")</f>
        <v>-0.00022999999999995246</v>
      </c>
      <c r="X6" s="138">
        <f aca="true" t="shared" si="2" ref="X6:X69">IF(V6&lt;&gt;"",ABS(IF(V6="勝ち",W6/IF(RIGHT(F6,3)="JPY",0.01,0.0001),0)),"")</f>
        <v>0</v>
      </c>
      <c r="Y6" s="148">
        <f>IF(V6&lt;&gt;"",IF(V6="負け",W6/IF(RIGHT(F6,3)="JPY",0.01,0.0001),0),"")</f>
        <v>-2.2999999999995246</v>
      </c>
      <c r="Z6" s="138">
        <f aca="true" t="shared" si="3" ref="Z6:Z69">IF(V6&lt;&gt;"",ROUNDUP(IF(V6="勝ち",IF(W6&gt;0,W6*E6,ABS(W6*E6)),IF(V6="負け",IF(W6&gt;0,(W6*E6)*-1,W6*E6))),0)*Q6,"")</f>
        <v>-5</v>
      </c>
      <c r="AA6">
        <v>-144</v>
      </c>
    </row>
    <row r="7" spans="1:28" ht="13.5">
      <c r="A7" s="138">
        <f t="shared" si="0"/>
        <v>3</v>
      </c>
      <c r="B7" s="138">
        <f aca="true" t="shared" si="4" ref="B7:B70">IF(H7&lt;&gt;"",B6+AA6,"")</f>
        <v>49856</v>
      </c>
      <c r="C7" s="140">
        <f>'ルール＆合計'!$F$3</f>
        <v>0.02</v>
      </c>
      <c r="D7" s="139">
        <f t="shared" si="1"/>
        <v>997.12</v>
      </c>
      <c r="E7">
        <v>1000</v>
      </c>
      <c r="F7" s="136" t="s">
        <v>135</v>
      </c>
      <c r="G7" s="136" t="s">
        <v>64</v>
      </c>
      <c r="H7" t="s">
        <v>112</v>
      </c>
      <c r="I7" s="151">
        <v>42234.51736111111</v>
      </c>
      <c r="J7">
        <v>91.811</v>
      </c>
      <c r="K7" t="s">
        <v>113</v>
      </c>
      <c r="L7">
        <v>90.331</v>
      </c>
      <c r="M7">
        <v>91.79</v>
      </c>
      <c r="N7" s="138">
        <f>IF(L7&lt;&gt;"",ABS(L7-J7)/IF(RIGHT(F7,3)="JPY",0.01,0.0001),"")</f>
        <v>148.0000000000004</v>
      </c>
      <c r="O7" s="149">
        <f>IF(N7&lt;&gt;"",D7/N7,"")</f>
        <v>6.737297297297279</v>
      </c>
      <c r="P7" s="138">
        <f>IF(O7&lt;&gt;"",ROUNDDOWN(D7/N7/IF(RIGHT(F7,3)="JPY",100,M7)*J7,2),"")</f>
        <v>6.18</v>
      </c>
      <c r="Q7">
        <v>7</v>
      </c>
      <c r="R7" s="125" t="s">
        <v>67</v>
      </c>
      <c r="S7" s="146">
        <v>42234.68125</v>
      </c>
      <c r="T7">
        <v>91.268</v>
      </c>
      <c r="U7" t="s">
        <v>81</v>
      </c>
      <c r="V7" s="137" t="str">
        <f aca="true" t="shared" si="5" ref="V7:V70">IF(S7&lt;&gt;"",IF(H7="買",IF(W7&gt;0,"勝ち",IF(W7&gt;0,"-","負け")),IF(H7="売",IF(W7&lt;0,"負け",IF(W7=0,"-","勝ち")))),"")</f>
        <v>負け</v>
      </c>
      <c r="W7" s="172">
        <f aca="true" t="shared" si="6" ref="W7:W70">IF(T7&lt;&gt;"",IF(LEFT(H7,1)="買",T7-J7,IF(LEFT(H7,1)="売",J7-T7)),"")</f>
        <v>-0.5430000000000064</v>
      </c>
      <c r="X7" s="138">
        <f t="shared" si="2"/>
        <v>0</v>
      </c>
      <c r="Y7" s="148">
        <f aca="true" t="shared" si="7" ref="Y7:Y69">IF(V7&lt;&gt;"",IF(V7="負け",W7/IF(RIGHT(F7,3)="JPY",0.01,0.0001),0),"")</f>
        <v>-54.30000000000064</v>
      </c>
      <c r="Z7" s="138">
        <f t="shared" si="3"/>
        <v>-3808</v>
      </c>
      <c r="AA7">
        <v>-3801</v>
      </c>
      <c r="AB7" t="s">
        <v>116</v>
      </c>
    </row>
    <row r="8" spans="1:27" ht="13.5">
      <c r="A8" s="138">
        <f t="shared" si="0"/>
        <v>4</v>
      </c>
      <c r="B8" s="138">
        <f t="shared" si="4"/>
        <v>46055</v>
      </c>
      <c r="C8" s="140">
        <f>'ルール＆合計'!$F$3</f>
        <v>0.02</v>
      </c>
      <c r="D8" s="139">
        <f t="shared" si="1"/>
        <v>921.1</v>
      </c>
      <c r="E8">
        <v>1000</v>
      </c>
      <c r="F8" s="153" t="s">
        <v>118</v>
      </c>
      <c r="G8" s="125"/>
      <c r="H8" t="s">
        <v>106</v>
      </c>
      <c r="I8" s="154">
        <v>42235.57986111111</v>
      </c>
      <c r="J8">
        <v>1.1048</v>
      </c>
      <c r="K8" t="s">
        <v>119</v>
      </c>
      <c r="L8">
        <v>1.10732</v>
      </c>
      <c r="M8">
        <v>124</v>
      </c>
      <c r="N8" s="138">
        <f aca="true" t="shared" si="8" ref="N8:N71">IF(L8&lt;&gt;"",ABS(L8-J8)/IF(RIGHT(F8,3)="JPY",0.01,0.0001),"")</f>
        <v>25.200000000000777</v>
      </c>
      <c r="O8" s="149">
        <f aca="true" t="shared" si="9" ref="O8:O59">IF(N8&lt;&gt;"",D8/N8,"")</f>
        <v>36.551587301586174</v>
      </c>
      <c r="P8" s="138">
        <f aca="true" t="shared" si="10" ref="P8:P69">IF(O8&lt;&gt;"",ROUNDDOWN(B8*C8/N8/J8,2),"")</f>
        <v>33.08</v>
      </c>
      <c r="Q8">
        <v>2</v>
      </c>
      <c r="R8" s="125"/>
      <c r="S8" s="146"/>
      <c r="T8">
        <v>1.1048</v>
      </c>
      <c r="U8" t="s">
        <v>111</v>
      </c>
      <c r="V8" s="137">
        <f t="shared" si="5"/>
      </c>
      <c r="W8" s="172">
        <f t="shared" si="6"/>
        <v>0</v>
      </c>
      <c r="X8" s="138">
        <f t="shared" si="2"/>
      </c>
      <c r="Y8" s="148">
        <f t="shared" si="7"/>
      </c>
      <c r="Z8" s="138">
        <f t="shared" si="3"/>
      </c>
      <c r="AA8">
        <v>0</v>
      </c>
    </row>
    <row r="9" spans="1:27" ht="13.5">
      <c r="A9" s="138">
        <f t="shared" si="0"/>
        <v>5</v>
      </c>
      <c r="B9" s="138">
        <f t="shared" si="4"/>
        <v>46055</v>
      </c>
      <c r="C9" s="140">
        <f>'ルール＆合計'!$F$3</f>
        <v>0.02</v>
      </c>
      <c r="D9" s="139">
        <f t="shared" si="1"/>
        <v>921.1</v>
      </c>
      <c r="E9">
        <v>1000</v>
      </c>
      <c r="F9" s="153" t="s">
        <v>104</v>
      </c>
      <c r="G9" s="125"/>
      <c r="H9" t="s">
        <v>106</v>
      </c>
      <c r="I9" s="154">
        <v>42235.58263888889</v>
      </c>
      <c r="J9">
        <v>0.97278</v>
      </c>
      <c r="K9" t="s">
        <v>119</v>
      </c>
      <c r="L9">
        <v>0.97602</v>
      </c>
      <c r="M9">
        <v>124</v>
      </c>
      <c r="N9" s="138">
        <f t="shared" si="8"/>
        <v>32.400000000000205</v>
      </c>
      <c r="O9" s="149">
        <f t="shared" si="9"/>
        <v>28.429012345678835</v>
      </c>
      <c r="P9" s="138">
        <f t="shared" si="10"/>
        <v>29.22</v>
      </c>
      <c r="Q9">
        <v>3</v>
      </c>
      <c r="R9" s="125"/>
      <c r="S9" s="146"/>
      <c r="T9">
        <v>0.97278</v>
      </c>
      <c r="U9" t="s">
        <v>111</v>
      </c>
      <c r="V9" s="137">
        <f t="shared" si="5"/>
      </c>
      <c r="W9" s="172">
        <f t="shared" si="6"/>
        <v>0</v>
      </c>
      <c r="X9" s="138">
        <f t="shared" si="2"/>
      </c>
      <c r="Y9" s="148">
        <f t="shared" si="7"/>
      </c>
      <c r="Z9" s="138">
        <f t="shared" si="3"/>
      </c>
      <c r="AA9">
        <v>0</v>
      </c>
    </row>
    <row r="10" spans="1:27" ht="13.5">
      <c r="A10" s="138">
        <f t="shared" si="0"/>
        <v>6</v>
      </c>
      <c r="B10" s="138">
        <f t="shared" si="4"/>
        <v>46055</v>
      </c>
      <c r="C10" s="140">
        <f>'ルール＆合計'!$F$3</f>
        <v>0.02</v>
      </c>
      <c r="D10" s="139">
        <f t="shared" si="1"/>
        <v>921.1</v>
      </c>
      <c r="E10">
        <v>1000</v>
      </c>
      <c r="F10" s="153" t="s">
        <v>118</v>
      </c>
      <c r="G10" s="125"/>
      <c r="H10" t="s">
        <v>106</v>
      </c>
      <c r="I10" s="154">
        <v>42235.645833333336</v>
      </c>
      <c r="J10">
        <v>1.1048</v>
      </c>
      <c r="K10" t="s">
        <v>120</v>
      </c>
      <c r="L10">
        <v>1.10732</v>
      </c>
      <c r="M10">
        <v>124.42</v>
      </c>
      <c r="N10" s="138">
        <f t="shared" si="8"/>
        <v>25.200000000000777</v>
      </c>
      <c r="O10" s="149">
        <f t="shared" si="9"/>
        <v>36.551587301586174</v>
      </c>
      <c r="P10" s="138">
        <f t="shared" si="10"/>
        <v>33.08</v>
      </c>
      <c r="Q10">
        <v>2</v>
      </c>
      <c r="R10" s="125"/>
      <c r="S10" s="146">
        <v>42235.645833333336</v>
      </c>
      <c r="T10">
        <v>1.10732</v>
      </c>
      <c r="U10" t="s">
        <v>110</v>
      </c>
      <c r="V10" s="137" t="str">
        <f t="shared" si="5"/>
        <v>負け</v>
      </c>
      <c r="W10" s="172">
        <f t="shared" si="6"/>
        <v>-0.0025200000000000777</v>
      </c>
      <c r="X10" s="138">
        <f t="shared" si="2"/>
        <v>0</v>
      </c>
      <c r="Y10" s="148">
        <f t="shared" si="7"/>
        <v>-25.200000000000777</v>
      </c>
      <c r="Z10" s="138">
        <f t="shared" si="3"/>
        <v>-6</v>
      </c>
      <c r="AA10">
        <v>-639</v>
      </c>
    </row>
    <row r="11" spans="1:27" ht="13.5">
      <c r="A11" s="138">
        <f t="shared" si="0"/>
        <v>7</v>
      </c>
      <c r="B11" s="138">
        <f t="shared" si="4"/>
        <v>45416</v>
      </c>
      <c r="C11" s="140">
        <f>'ルール＆合計'!$F$3</f>
        <v>0.02</v>
      </c>
      <c r="D11" s="139">
        <f t="shared" si="1"/>
        <v>908.32</v>
      </c>
      <c r="E11">
        <v>1000</v>
      </c>
      <c r="F11" s="153" t="s">
        <v>104</v>
      </c>
      <c r="G11" s="136" t="s">
        <v>108</v>
      </c>
      <c r="H11" t="s">
        <v>106</v>
      </c>
      <c r="I11" s="146">
        <v>42235.64513888889</v>
      </c>
      <c r="J11">
        <v>0.97276</v>
      </c>
      <c r="K11" t="s">
        <v>121</v>
      </c>
      <c r="L11">
        <v>0.97602</v>
      </c>
      <c r="M11">
        <v>127.89</v>
      </c>
      <c r="N11" s="138">
        <f t="shared" si="8"/>
        <v>32.600000000000406</v>
      </c>
      <c r="O11" s="149">
        <f t="shared" si="9"/>
        <v>27.862576687116217</v>
      </c>
      <c r="P11" s="138">
        <f t="shared" si="10"/>
        <v>28.64</v>
      </c>
      <c r="Q11">
        <v>3</v>
      </c>
      <c r="R11" t="s">
        <v>108</v>
      </c>
      <c r="S11" s="127">
        <v>42235.85972222222</v>
      </c>
      <c r="T11">
        <v>0.97023</v>
      </c>
      <c r="U11" t="s">
        <v>125</v>
      </c>
      <c r="V11" s="137" t="str">
        <f t="shared" si="5"/>
        <v>勝ち</v>
      </c>
      <c r="W11" s="172">
        <f t="shared" si="6"/>
        <v>0.002529999999999921</v>
      </c>
      <c r="X11" s="138">
        <f t="shared" si="2"/>
        <v>25.299999999999212</v>
      </c>
      <c r="Y11" s="148">
        <f t="shared" si="7"/>
        <v>0</v>
      </c>
      <c r="Z11" s="138">
        <f t="shared" si="3"/>
        <v>9</v>
      </c>
      <c r="AA11">
        <v>960</v>
      </c>
    </row>
    <row r="12" spans="1:27" ht="13.5">
      <c r="A12" s="138">
        <f t="shared" si="0"/>
        <v>8</v>
      </c>
      <c r="B12" s="138">
        <f t="shared" si="4"/>
        <v>46376</v>
      </c>
      <c r="C12" s="140">
        <f>'ルール＆合計'!$F$3</f>
        <v>0.02</v>
      </c>
      <c r="D12" s="139">
        <f t="shared" si="1"/>
        <v>927.52</v>
      </c>
      <c r="E12">
        <v>1000</v>
      </c>
      <c r="F12" s="153" t="s">
        <v>122</v>
      </c>
      <c r="G12" s="136" t="s">
        <v>108</v>
      </c>
      <c r="H12" t="s">
        <v>106</v>
      </c>
      <c r="I12" s="146">
        <v>42235.71527777778</v>
      </c>
      <c r="J12">
        <v>1.56465</v>
      </c>
      <c r="K12" t="s">
        <v>121</v>
      </c>
      <c r="L12">
        <v>1.56813</v>
      </c>
      <c r="M12">
        <v>124.42</v>
      </c>
      <c r="N12" s="138">
        <f t="shared" si="8"/>
        <v>34.79999999999927</v>
      </c>
      <c r="O12" s="149">
        <f t="shared" si="9"/>
        <v>26.652873563218947</v>
      </c>
      <c r="P12" s="138">
        <f t="shared" si="10"/>
        <v>17.03</v>
      </c>
      <c r="Q12">
        <v>2</v>
      </c>
      <c r="R12" s="136" t="s">
        <v>108</v>
      </c>
      <c r="S12" s="146">
        <v>42236.71527777778</v>
      </c>
      <c r="T12">
        <v>1.56465</v>
      </c>
      <c r="U12" t="s">
        <v>127</v>
      </c>
      <c r="V12" s="137" t="str">
        <f t="shared" si="5"/>
        <v>-</v>
      </c>
      <c r="W12" s="172">
        <f t="shared" si="6"/>
        <v>0</v>
      </c>
      <c r="X12" s="138">
        <f t="shared" si="2"/>
        <v>0</v>
      </c>
      <c r="Y12" s="148">
        <f t="shared" si="7"/>
        <v>0</v>
      </c>
      <c r="Z12" s="138">
        <f t="shared" si="3"/>
        <v>0</v>
      </c>
      <c r="AA12">
        <v>-7</v>
      </c>
    </row>
    <row r="13" spans="1:28" ht="13.5">
      <c r="A13" s="138">
        <f t="shared" si="0"/>
        <v>9</v>
      </c>
      <c r="B13" s="138">
        <f t="shared" si="4"/>
        <v>46369</v>
      </c>
      <c r="C13" s="140">
        <f>'ルール＆合計'!$F$3</f>
        <v>0.02</v>
      </c>
      <c r="D13" s="139">
        <f t="shared" si="1"/>
        <v>927.38</v>
      </c>
      <c r="E13">
        <v>1000</v>
      </c>
      <c r="F13" s="153" t="s">
        <v>122</v>
      </c>
      <c r="G13" s="136" t="s">
        <v>108</v>
      </c>
      <c r="H13" t="s">
        <v>106</v>
      </c>
      <c r="I13" s="146">
        <v>42235.77916666667</v>
      </c>
      <c r="J13">
        <v>0.97276</v>
      </c>
      <c r="K13" t="s">
        <v>123</v>
      </c>
      <c r="L13">
        <v>0.96479</v>
      </c>
      <c r="M13">
        <v>124.42</v>
      </c>
      <c r="N13" s="138">
        <f t="shared" si="8"/>
        <v>79.6999999999992</v>
      </c>
      <c r="O13" s="149">
        <f t="shared" si="9"/>
        <v>11.63588456712684</v>
      </c>
      <c r="P13" s="138">
        <f t="shared" si="10"/>
        <v>11.96</v>
      </c>
      <c r="Q13">
        <v>2</v>
      </c>
      <c r="R13" t="s">
        <v>108</v>
      </c>
      <c r="S13" s="127">
        <v>42235.86388888889</v>
      </c>
      <c r="T13">
        <v>0.96479</v>
      </c>
      <c r="U13" t="s">
        <v>126</v>
      </c>
      <c r="V13" s="137" t="str">
        <f t="shared" si="5"/>
        <v>勝ち</v>
      </c>
      <c r="W13" s="172">
        <f t="shared" si="6"/>
        <v>0.007969999999999922</v>
      </c>
      <c r="X13" s="138">
        <f t="shared" si="2"/>
        <v>79.6999999999992</v>
      </c>
      <c r="Y13" s="148">
        <f t="shared" si="7"/>
        <v>0</v>
      </c>
      <c r="Z13" s="138">
        <f t="shared" si="3"/>
        <v>16</v>
      </c>
      <c r="AA13">
        <v>-486</v>
      </c>
      <c r="AB13" t="s">
        <v>124</v>
      </c>
    </row>
    <row r="14" spans="1:27" ht="13.5">
      <c r="A14" s="138">
        <f t="shared" si="0"/>
        <v>10</v>
      </c>
      <c r="B14" s="138">
        <f t="shared" si="4"/>
        <v>45883</v>
      </c>
      <c r="C14" s="140">
        <f>'ルール＆合計'!$F$3</f>
        <v>0.02</v>
      </c>
      <c r="D14" s="139">
        <f t="shared" si="1"/>
        <v>917.66</v>
      </c>
      <c r="E14">
        <v>1000</v>
      </c>
      <c r="F14" s="153" t="s">
        <v>129</v>
      </c>
      <c r="G14" s="136" t="s">
        <v>108</v>
      </c>
      <c r="H14" t="s">
        <v>112</v>
      </c>
      <c r="I14" s="146" t="s">
        <v>130</v>
      </c>
      <c r="J14">
        <v>81.989</v>
      </c>
      <c r="K14" t="s">
        <v>128</v>
      </c>
      <c r="L14">
        <v>81.822</v>
      </c>
      <c r="N14" s="138">
        <f t="shared" si="8"/>
        <v>16.70000000000016</v>
      </c>
      <c r="O14" s="149">
        <f t="shared" si="9"/>
        <v>54.94970059880187</v>
      </c>
      <c r="P14" s="138">
        <f t="shared" si="10"/>
        <v>0.67</v>
      </c>
      <c r="Q14">
        <v>3</v>
      </c>
      <c r="R14" s="136" t="s">
        <v>108</v>
      </c>
      <c r="S14" s="146"/>
      <c r="T14">
        <v>81.989</v>
      </c>
      <c r="U14" t="s">
        <v>131</v>
      </c>
      <c r="V14" s="137">
        <f t="shared" si="5"/>
      </c>
      <c r="W14" s="172">
        <f t="shared" si="6"/>
        <v>0</v>
      </c>
      <c r="X14" s="138">
        <f t="shared" si="2"/>
      </c>
      <c r="Y14" s="148">
        <f t="shared" si="7"/>
      </c>
      <c r="Z14" s="138">
        <f t="shared" si="3"/>
      </c>
      <c r="AA14">
        <v>0</v>
      </c>
    </row>
    <row r="15" spans="1:28" ht="13.5">
      <c r="A15" s="138">
        <f t="shared" si="0"/>
        <v>11</v>
      </c>
      <c r="B15" s="138">
        <f t="shared" si="4"/>
        <v>45883</v>
      </c>
      <c r="C15" s="140">
        <f>'ルール＆合計'!$F$3</f>
        <v>0.02</v>
      </c>
      <c r="D15" s="139">
        <f t="shared" si="1"/>
        <v>917.66</v>
      </c>
      <c r="E15">
        <v>1000</v>
      </c>
      <c r="F15" s="153" t="s">
        <v>104</v>
      </c>
      <c r="G15" s="136" t="s">
        <v>108</v>
      </c>
      <c r="H15" t="s">
        <v>106</v>
      </c>
      <c r="I15" s="146">
        <v>42236.416666666664</v>
      </c>
      <c r="J15">
        <v>0.96419</v>
      </c>
      <c r="K15" t="s">
        <v>121</v>
      </c>
      <c r="L15">
        <v>0.9663</v>
      </c>
      <c r="M15">
        <v>127.42</v>
      </c>
      <c r="N15" s="138">
        <f t="shared" si="8"/>
        <v>21.100000000000563</v>
      </c>
      <c r="O15" s="149">
        <f t="shared" si="9"/>
        <v>43.490995260662345</v>
      </c>
      <c r="P15" s="138">
        <f t="shared" si="10"/>
        <v>45.1</v>
      </c>
      <c r="Q15">
        <v>3</v>
      </c>
      <c r="R15" s="136" t="s">
        <v>108</v>
      </c>
      <c r="S15" s="146">
        <v>42236.544444444444</v>
      </c>
      <c r="T15">
        <v>0.96415</v>
      </c>
      <c r="U15" t="s">
        <v>132</v>
      </c>
      <c r="V15" s="137" t="str">
        <f t="shared" si="5"/>
        <v>勝ち</v>
      </c>
      <c r="W15" s="172">
        <f t="shared" si="6"/>
        <v>4.0000000000040004E-05</v>
      </c>
      <c r="X15" s="138">
        <f t="shared" si="2"/>
        <v>0.40000000000040004</v>
      </c>
      <c r="Y15" s="148">
        <f t="shared" si="7"/>
        <v>0</v>
      </c>
      <c r="Z15" s="138">
        <f t="shared" si="3"/>
        <v>3</v>
      </c>
      <c r="AA15">
        <v>-4</v>
      </c>
      <c r="AB15" t="s">
        <v>133</v>
      </c>
    </row>
    <row r="16" spans="1:27" ht="13.5">
      <c r="A16" s="138">
        <f t="shared" si="0"/>
        <v>12</v>
      </c>
      <c r="B16" s="138">
        <f t="shared" si="4"/>
        <v>45879</v>
      </c>
      <c r="C16" s="140">
        <f>'ルール＆合計'!$F$3</f>
        <v>0.02</v>
      </c>
      <c r="D16" s="139">
        <f t="shared" si="1"/>
        <v>917.58</v>
      </c>
      <c r="E16">
        <v>1000</v>
      </c>
      <c r="F16" s="153" t="s">
        <v>136</v>
      </c>
      <c r="G16" s="136" t="s">
        <v>137</v>
      </c>
      <c r="H16" t="s">
        <v>106</v>
      </c>
      <c r="I16" s="127">
        <v>42236.89166666667</v>
      </c>
      <c r="J16">
        <v>138.137</v>
      </c>
      <c r="K16" t="s">
        <v>138</v>
      </c>
      <c r="L16">
        <v>138.661</v>
      </c>
      <c r="N16" s="138">
        <f t="shared" si="8"/>
        <v>52.40000000000009</v>
      </c>
      <c r="O16" s="149">
        <f t="shared" si="9"/>
        <v>17.511068702290046</v>
      </c>
      <c r="P16" s="138">
        <f t="shared" si="10"/>
        <v>0.12</v>
      </c>
      <c r="Q16">
        <v>1</v>
      </c>
      <c r="R16" s="136"/>
      <c r="S16" t="s">
        <v>140</v>
      </c>
      <c r="T16">
        <v>138.137</v>
      </c>
      <c r="U16" t="s">
        <v>139</v>
      </c>
      <c r="V16" s="137" t="str">
        <f t="shared" si="5"/>
        <v>-</v>
      </c>
      <c r="W16" s="172">
        <f t="shared" si="6"/>
        <v>0</v>
      </c>
      <c r="X16" s="138">
        <f t="shared" si="2"/>
        <v>0</v>
      </c>
      <c r="Y16" s="148">
        <f t="shared" si="7"/>
        <v>0</v>
      </c>
      <c r="Z16" s="138">
        <f t="shared" si="3"/>
        <v>0</v>
      </c>
      <c r="AA16">
        <v>0</v>
      </c>
    </row>
    <row r="17" spans="1:27" ht="13.5">
      <c r="A17" s="138">
        <f t="shared" si="0"/>
        <v>13</v>
      </c>
      <c r="B17" s="138">
        <f t="shared" si="4"/>
        <v>45879</v>
      </c>
      <c r="C17" s="140">
        <f>'ルール＆合計'!$F$3</f>
        <v>0.02</v>
      </c>
      <c r="D17" s="139">
        <f t="shared" si="1"/>
        <v>917.58</v>
      </c>
      <c r="E17">
        <v>1000</v>
      </c>
      <c r="F17" s="153" t="s">
        <v>141</v>
      </c>
      <c r="G17" s="136" t="s">
        <v>108</v>
      </c>
      <c r="H17" t="s">
        <v>112</v>
      </c>
      <c r="I17" s="146">
        <v>42237</v>
      </c>
      <c r="J17">
        <v>1.31072</v>
      </c>
      <c r="K17" t="s">
        <v>142</v>
      </c>
      <c r="L17">
        <v>1.30953</v>
      </c>
      <c r="M17">
        <v>93.8</v>
      </c>
      <c r="N17" s="138">
        <f t="shared" si="8"/>
        <v>11.900000000000244</v>
      </c>
      <c r="O17" s="149">
        <f t="shared" si="9"/>
        <v>77.1075630252085</v>
      </c>
      <c r="P17" s="138">
        <f t="shared" si="10"/>
        <v>58.82</v>
      </c>
      <c r="Q17">
        <v>6</v>
      </c>
      <c r="R17" s="136"/>
      <c r="S17" t="s">
        <v>144</v>
      </c>
      <c r="T17">
        <v>1.31072</v>
      </c>
      <c r="U17" t="s">
        <v>143</v>
      </c>
      <c r="V17" s="137" t="str">
        <f t="shared" si="5"/>
        <v>負け</v>
      </c>
      <c r="W17" s="172">
        <f t="shared" si="6"/>
        <v>0</v>
      </c>
      <c r="X17" s="138">
        <f t="shared" si="2"/>
        <v>0</v>
      </c>
      <c r="Y17" s="148">
        <f t="shared" si="7"/>
        <v>0</v>
      </c>
      <c r="Z17" s="138">
        <f t="shared" si="3"/>
        <v>0</v>
      </c>
      <c r="AA17">
        <v>0</v>
      </c>
    </row>
    <row r="18" spans="1:28" ht="13.5">
      <c r="A18" s="138">
        <f t="shared" si="0"/>
        <v>14</v>
      </c>
      <c r="B18" s="138">
        <f t="shared" si="4"/>
        <v>45879</v>
      </c>
      <c r="C18" s="140">
        <f>'ルール＆合計'!$F$3</f>
        <v>0.02</v>
      </c>
      <c r="D18" s="139">
        <f t="shared" si="1"/>
        <v>917.58</v>
      </c>
      <c r="E18">
        <v>1000</v>
      </c>
      <c r="F18" s="153" t="s">
        <v>145</v>
      </c>
      <c r="G18" s="136" t="s">
        <v>146</v>
      </c>
      <c r="H18" t="s">
        <v>112</v>
      </c>
      <c r="I18" s="127">
        <v>42237.30972222222</v>
      </c>
      <c r="J18">
        <v>1.56947</v>
      </c>
      <c r="K18" t="s">
        <v>147</v>
      </c>
      <c r="L18">
        <v>1.56831</v>
      </c>
      <c r="M18">
        <v>122.91</v>
      </c>
      <c r="N18" s="138">
        <f t="shared" si="8"/>
        <v>11.599999999998278</v>
      </c>
      <c r="O18" s="149">
        <f t="shared" si="9"/>
        <v>79.10172413794278</v>
      </c>
      <c r="P18" s="138">
        <f t="shared" si="10"/>
        <v>50.4</v>
      </c>
      <c r="Q18">
        <v>6</v>
      </c>
      <c r="R18" s="136" t="s">
        <v>108</v>
      </c>
      <c r="S18" s="127">
        <v>42237.88125</v>
      </c>
      <c r="T18">
        <v>1.57116</v>
      </c>
      <c r="U18" t="s">
        <v>148</v>
      </c>
      <c r="V18" s="137" t="str">
        <f t="shared" si="5"/>
        <v>勝ち</v>
      </c>
      <c r="W18" s="172">
        <f t="shared" si="6"/>
        <v>0.0016899999999999693</v>
      </c>
      <c r="X18" s="138">
        <f t="shared" si="2"/>
        <v>16.899999999999693</v>
      </c>
      <c r="Y18" s="148">
        <f t="shared" si="7"/>
        <v>0</v>
      </c>
      <c r="Z18" s="138">
        <f t="shared" si="3"/>
        <v>12</v>
      </c>
      <c r="AA18">
        <v>1232</v>
      </c>
      <c r="AB18" t="s">
        <v>149</v>
      </c>
    </row>
    <row r="19" spans="1:28" ht="13.5">
      <c r="A19" s="138">
        <f t="shared" si="0"/>
        <v>15</v>
      </c>
      <c r="B19" s="138">
        <f t="shared" si="4"/>
        <v>47111</v>
      </c>
      <c r="C19" s="140">
        <f>'ルール＆合計'!$F$3</f>
        <v>0.02</v>
      </c>
      <c r="D19" s="139">
        <f t="shared" si="1"/>
        <v>942.22</v>
      </c>
      <c r="E19">
        <v>1000</v>
      </c>
      <c r="F19" s="153" t="s">
        <v>145</v>
      </c>
      <c r="G19" s="136" t="s">
        <v>146</v>
      </c>
      <c r="H19" s="136" t="s">
        <v>106</v>
      </c>
      <c r="I19" s="146">
        <v>42238.75625</v>
      </c>
      <c r="J19">
        <v>1.56627</v>
      </c>
      <c r="K19" t="s">
        <v>150</v>
      </c>
      <c r="L19">
        <v>1.56993</v>
      </c>
      <c r="M19">
        <v>122.91</v>
      </c>
      <c r="N19" s="138">
        <f t="shared" si="8"/>
        <v>36.599999999999966</v>
      </c>
      <c r="O19" s="149">
        <f t="shared" si="9"/>
        <v>25.74371584699456</v>
      </c>
      <c r="P19" s="138">
        <f t="shared" si="10"/>
        <v>16.43</v>
      </c>
      <c r="Q19">
        <v>2</v>
      </c>
      <c r="R19" s="136" t="s">
        <v>108</v>
      </c>
      <c r="S19" s="127">
        <v>42238.791666666664</v>
      </c>
      <c r="T19">
        <v>1.56995</v>
      </c>
      <c r="U19" t="s">
        <v>110</v>
      </c>
      <c r="V19" s="137" t="str">
        <f t="shared" si="5"/>
        <v>負け</v>
      </c>
      <c r="W19" s="172">
        <f t="shared" si="6"/>
        <v>-0.0036799999999999056</v>
      </c>
      <c r="X19" s="138">
        <f t="shared" si="2"/>
        <v>0</v>
      </c>
      <c r="Y19" s="148">
        <f t="shared" si="7"/>
        <v>-36.79999999999905</v>
      </c>
      <c r="Z19" s="138">
        <f t="shared" si="3"/>
        <v>-8</v>
      </c>
      <c r="AA19">
        <v>-906</v>
      </c>
      <c r="AB19" t="s">
        <v>151</v>
      </c>
    </row>
    <row r="20" spans="1:28" ht="13.5">
      <c r="A20" s="138">
        <f t="shared" si="0"/>
        <v>16</v>
      </c>
      <c r="B20" s="138">
        <f t="shared" si="4"/>
        <v>46205</v>
      </c>
      <c r="C20" s="140">
        <f>'ルール＆合計'!$F$3</f>
        <v>0.02</v>
      </c>
      <c r="D20" s="139">
        <f t="shared" si="1"/>
        <v>924.1</v>
      </c>
      <c r="E20">
        <v>1000</v>
      </c>
      <c r="F20" s="153" t="s">
        <v>152</v>
      </c>
      <c r="G20" s="136" t="s">
        <v>108</v>
      </c>
      <c r="H20" s="136" t="s">
        <v>112</v>
      </c>
      <c r="I20" s="171">
        <v>42241</v>
      </c>
      <c r="J20">
        <v>1.10822</v>
      </c>
      <c r="K20" t="s">
        <v>153</v>
      </c>
      <c r="L20">
        <v>1.10461</v>
      </c>
      <c r="M20">
        <v>77.9</v>
      </c>
      <c r="N20" s="138">
        <f t="shared" si="8"/>
        <v>36.09999999999891</v>
      </c>
      <c r="O20" s="149">
        <f t="shared" si="9"/>
        <v>25.59833795013928</v>
      </c>
      <c r="P20" s="138">
        <f t="shared" si="10"/>
        <v>23.09</v>
      </c>
      <c r="Q20">
        <v>3</v>
      </c>
      <c r="R20" s="136" t="s">
        <v>108</v>
      </c>
      <c r="S20" s="127">
        <v>42237.791666666664</v>
      </c>
      <c r="T20">
        <v>1.10462</v>
      </c>
      <c r="U20" t="s">
        <v>110</v>
      </c>
      <c r="V20" s="137" t="str">
        <f t="shared" si="5"/>
        <v>負け</v>
      </c>
      <c r="W20" s="172">
        <f t="shared" si="6"/>
        <v>-0.0036000000000000476</v>
      </c>
      <c r="X20" s="138">
        <f t="shared" si="2"/>
        <v>0</v>
      </c>
      <c r="Y20" s="148">
        <f t="shared" si="7"/>
        <v>-36.000000000000476</v>
      </c>
      <c r="Z20" s="138">
        <f t="shared" si="3"/>
        <v>-12</v>
      </c>
      <c r="AA20">
        <v>-846</v>
      </c>
      <c r="AB20" t="s">
        <v>154</v>
      </c>
    </row>
    <row r="21" spans="1:27" ht="13.5">
      <c r="A21" s="138">
        <f t="shared" si="0"/>
        <v>17</v>
      </c>
      <c r="B21" s="138">
        <f t="shared" si="4"/>
        <v>45359</v>
      </c>
      <c r="C21" s="140">
        <f>'ルール＆合計'!$F$3</f>
        <v>0.02</v>
      </c>
      <c r="D21" s="139">
        <f t="shared" si="1"/>
        <v>907.1800000000001</v>
      </c>
      <c r="E21">
        <v>1000</v>
      </c>
      <c r="F21" s="153" t="s">
        <v>155</v>
      </c>
      <c r="G21" s="136" t="s">
        <v>108</v>
      </c>
      <c r="H21" s="136" t="s">
        <v>112</v>
      </c>
      <c r="I21" s="156">
        <v>42241.541666666664</v>
      </c>
      <c r="J21">
        <v>0.65528</v>
      </c>
      <c r="K21" t="s">
        <v>156</v>
      </c>
      <c r="L21">
        <v>0.645263</v>
      </c>
      <c r="M21">
        <v>120</v>
      </c>
      <c r="N21" s="138">
        <f>IF(L21&lt;&gt;"",ABS(L21-J21)/IF(RIGHT(F21,3)="JPY",0.01,0.0001),"")</f>
        <v>100.16999999999942</v>
      </c>
      <c r="O21" s="149">
        <f t="shared" si="9"/>
        <v>9.05640411300794</v>
      </c>
      <c r="P21" s="138">
        <f t="shared" si="10"/>
        <v>13.82</v>
      </c>
      <c r="Q21">
        <v>1</v>
      </c>
      <c r="R21" s="136" t="s">
        <v>108</v>
      </c>
      <c r="S21" s="127">
        <v>42241.915972222225</v>
      </c>
      <c r="T21">
        <v>0.64791</v>
      </c>
      <c r="U21" t="s">
        <v>110</v>
      </c>
      <c r="V21" s="137" t="str">
        <f t="shared" si="5"/>
        <v>負け</v>
      </c>
      <c r="W21" s="172">
        <f t="shared" si="6"/>
        <v>-0.007369999999999988</v>
      </c>
      <c r="X21" s="138">
        <f t="shared" si="2"/>
        <v>0</v>
      </c>
      <c r="Y21" s="148">
        <f t="shared" si="7"/>
        <v>-73.69999999999987</v>
      </c>
      <c r="Z21" s="138">
        <f t="shared" si="3"/>
        <v>-8</v>
      </c>
      <c r="AA21">
        <v>-892</v>
      </c>
    </row>
    <row r="22" spans="1:27" ht="13.5">
      <c r="A22" s="138">
        <f t="shared" si="0"/>
        <v>18</v>
      </c>
      <c r="B22" s="138">
        <f t="shared" si="4"/>
        <v>44467</v>
      </c>
      <c r="C22" s="140">
        <f>'ルール＆合計'!$F$3</f>
        <v>0.02</v>
      </c>
      <c r="D22" s="139">
        <f t="shared" si="1"/>
        <v>889.34</v>
      </c>
      <c r="E22">
        <v>1000</v>
      </c>
      <c r="F22" s="153" t="s">
        <v>158</v>
      </c>
      <c r="G22" s="136" t="s">
        <v>157</v>
      </c>
      <c r="H22" s="136" t="s">
        <v>112</v>
      </c>
      <c r="I22" s="146">
        <v>42241</v>
      </c>
      <c r="J22">
        <v>0.94395</v>
      </c>
      <c r="K22" t="s">
        <v>159</v>
      </c>
      <c r="L22">
        <v>0.93826</v>
      </c>
      <c r="M22">
        <v>127.47</v>
      </c>
      <c r="N22" s="138">
        <f t="shared" si="8"/>
        <v>56.89999999999973</v>
      </c>
      <c r="O22" s="149">
        <f t="shared" si="9"/>
        <v>15.629876977152975</v>
      </c>
      <c r="P22" s="138">
        <f>IF(O22&lt;&gt;"",ROUNDDOWN(B22*C22/N22/J22,2),"")</f>
        <v>16.55</v>
      </c>
      <c r="Q22">
        <v>1</v>
      </c>
      <c r="R22" s="136" t="s">
        <v>108</v>
      </c>
      <c r="S22" s="127">
        <v>42241.69930555556</v>
      </c>
      <c r="T22">
        <v>0.94401</v>
      </c>
      <c r="U22" t="s">
        <v>162</v>
      </c>
      <c r="V22" s="137" t="str">
        <f t="shared" si="5"/>
        <v>勝ち</v>
      </c>
      <c r="W22" s="172">
        <f t="shared" si="6"/>
        <v>6.0000000000060005E-05</v>
      </c>
      <c r="X22" s="138">
        <f t="shared" si="2"/>
        <v>0.6000000000006</v>
      </c>
      <c r="Y22" s="148">
        <f t="shared" si="7"/>
        <v>0</v>
      </c>
      <c r="Z22" s="138">
        <f t="shared" si="3"/>
        <v>1</v>
      </c>
      <c r="AA22">
        <v>6</v>
      </c>
    </row>
    <row r="23" spans="1:28" ht="13.5">
      <c r="A23" s="138">
        <f t="shared" si="0"/>
        <v>19</v>
      </c>
      <c r="B23" s="138">
        <f t="shared" si="4"/>
        <v>44473</v>
      </c>
      <c r="C23" s="140">
        <f>'ルール＆合計'!$F$3</f>
        <v>0.02</v>
      </c>
      <c r="D23" s="139">
        <f t="shared" si="1"/>
        <v>889.46</v>
      </c>
      <c r="E23">
        <v>1000</v>
      </c>
      <c r="F23" s="153" t="s">
        <v>160</v>
      </c>
      <c r="G23" s="136" t="s">
        <v>161</v>
      </c>
      <c r="H23" s="136" t="s">
        <v>106</v>
      </c>
      <c r="I23" s="146">
        <v>42242</v>
      </c>
      <c r="J23">
        <v>1.51339</v>
      </c>
      <c r="K23" t="s">
        <v>107</v>
      </c>
      <c r="L23">
        <v>1.51999</v>
      </c>
      <c r="M23">
        <v>89.67</v>
      </c>
      <c r="N23" s="138">
        <f t="shared" si="8"/>
        <v>65.99999999999939</v>
      </c>
      <c r="O23" s="149">
        <f t="shared" si="9"/>
        <v>13.476666666666793</v>
      </c>
      <c r="P23" s="138">
        <f>IF(O23&lt;&gt;"",ROUNDDOWN(B23*C23/N23/J23,2),"")</f>
        <v>8.9</v>
      </c>
      <c r="Q23">
        <v>1</v>
      </c>
      <c r="R23" s="136" t="s">
        <v>108</v>
      </c>
      <c r="S23" s="127">
        <v>42243.32777777778</v>
      </c>
      <c r="T23">
        <v>1.50877</v>
      </c>
      <c r="U23" t="s">
        <v>166</v>
      </c>
      <c r="V23" s="137" t="str">
        <f t="shared" si="5"/>
        <v>勝ち</v>
      </c>
      <c r="W23" s="172">
        <f t="shared" si="6"/>
        <v>0.0046200000000000685</v>
      </c>
      <c r="X23" s="138">
        <f t="shared" si="2"/>
        <v>46.200000000000685</v>
      </c>
      <c r="Y23" s="148">
        <f t="shared" si="7"/>
        <v>0</v>
      </c>
      <c r="Z23" s="138">
        <f t="shared" si="3"/>
        <v>5</v>
      </c>
      <c r="AA23">
        <v>417</v>
      </c>
      <c r="AB23" t="s">
        <v>169</v>
      </c>
    </row>
    <row r="24" spans="1:28" ht="13.5">
      <c r="A24" s="138">
        <f t="shared" si="0"/>
        <v>20</v>
      </c>
      <c r="B24" s="138">
        <f t="shared" si="4"/>
        <v>44890</v>
      </c>
      <c r="C24" s="140">
        <f>'ルール＆合計'!$F$3</f>
        <v>0.02</v>
      </c>
      <c r="D24" s="139">
        <f t="shared" si="1"/>
        <v>897.8000000000001</v>
      </c>
      <c r="E24">
        <v>1000</v>
      </c>
      <c r="F24" s="153" t="s">
        <v>163</v>
      </c>
      <c r="G24" s="136" t="s">
        <v>164</v>
      </c>
      <c r="H24" s="136" t="s">
        <v>106</v>
      </c>
      <c r="I24" s="127">
        <v>42242.875</v>
      </c>
      <c r="J24">
        <v>2.17739</v>
      </c>
      <c r="K24" t="s">
        <v>121</v>
      </c>
      <c r="L24">
        <v>2.184</v>
      </c>
      <c r="M24">
        <v>84.8</v>
      </c>
      <c r="N24" s="138">
        <f t="shared" si="8"/>
        <v>66.10000000000227</v>
      </c>
      <c r="O24" s="149">
        <f t="shared" si="9"/>
        <v>13.582450832072153</v>
      </c>
      <c r="P24" s="138">
        <f>IF(O24&lt;&gt;"",ROUNDDOWN(B24*C24/N24/J24,2),"")</f>
        <v>6.23</v>
      </c>
      <c r="Q24">
        <v>1</v>
      </c>
      <c r="R24" s="136" t="s">
        <v>165</v>
      </c>
      <c r="S24" s="127">
        <v>42243.1875</v>
      </c>
      <c r="T24">
        <v>2.17983</v>
      </c>
      <c r="U24" t="s">
        <v>167</v>
      </c>
      <c r="V24" s="137" t="str">
        <f t="shared" si="5"/>
        <v>負け</v>
      </c>
      <c r="W24" s="172">
        <f t="shared" si="6"/>
        <v>-0.0024399999999999977</v>
      </c>
      <c r="X24" s="138">
        <f t="shared" si="2"/>
        <v>0</v>
      </c>
      <c r="Y24" s="148">
        <f t="shared" si="7"/>
        <v>-24.399999999999977</v>
      </c>
      <c r="Z24" s="138">
        <f t="shared" si="3"/>
        <v>-3</v>
      </c>
      <c r="AA24">
        <v>-211</v>
      </c>
      <c r="AB24" t="s">
        <v>168</v>
      </c>
    </row>
    <row r="25" spans="1:28" ht="13.5">
      <c r="A25" s="138">
        <f t="shared" si="0"/>
        <v>21</v>
      </c>
      <c r="B25" s="138">
        <f t="shared" si="4"/>
        <v>44679</v>
      </c>
      <c r="C25" s="140">
        <f>'ルール＆合計'!$F$3</f>
        <v>0.02</v>
      </c>
      <c r="D25" s="139">
        <f t="shared" si="1"/>
        <v>893.58</v>
      </c>
      <c r="E25">
        <v>1000</v>
      </c>
      <c r="F25" s="153" t="s">
        <v>136</v>
      </c>
      <c r="G25" s="136" t="s">
        <v>108</v>
      </c>
      <c r="H25" s="136" t="s">
        <v>106</v>
      </c>
      <c r="I25" s="127">
        <v>42243.54513888889</v>
      </c>
      <c r="J25">
        <v>135.728</v>
      </c>
      <c r="K25" t="s">
        <v>120</v>
      </c>
      <c r="L25">
        <v>136.004</v>
      </c>
      <c r="N25" s="138">
        <f t="shared" si="8"/>
        <v>27.599999999998204</v>
      </c>
      <c r="O25" s="149">
        <f t="shared" si="9"/>
        <v>32.37608695652385</v>
      </c>
      <c r="P25" s="138">
        <f t="shared" si="10"/>
        <v>0.23</v>
      </c>
      <c r="Q25">
        <v>1</v>
      </c>
      <c r="R25" s="136" t="s">
        <v>137</v>
      </c>
      <c r="S25" s="127">
        <v>42243.67291666667</v>
      </c>
      <c r="T25">
        <v>135.424</v>
      </c>
      <c r="U25" t="s">
        <v>148</v>
      </c>
      <c r="V25" s="137" t="str">
        <f t="shared" si="5"/>
        <v>勝ち</v>
      </c>
      <c r="W25" s="172">
        <f t="shared" si="6"/>
        <v>0.30400000000000205</v>
      </c>
      <c r="X25" s="138">
        <f t="shared" si="2"/>
        <v>30.400000000000205</v>
      </c>
      <c r="Y25" s="148">
        <f t="shared" si="7"/>
        <v>0</v>
      </c>
      <c r="Z25" s="138">
        <f t="shared" si="3"/>
        <v>305</v>
      </c>
      <c r="AA25">
        <v>301</v>
      </c>
      <c r="AB25" t="s">
        <v>172</v>
      </c>
    </row>
    <row r="26" spans="1:28" ht="13.5">
      <c r="A26" s="138">
        <f t="shared" si="0"/>
        <v>22</v>
      </c>
      <c r="B26" s="138">
        <f t="shared" si="4"/>
        <v>44980</v>
      </c>
      <c r="C26" s="140">
        <f>'ルール＆合計'!$F$3</f>
        <v>0.02</v>
      </c>
      <c r="D26" s="139">
        <f t="shared" si="1"/>
        <v>899.6</v>
      </c>
      <c r="E26">
        <v>1000</v>
      </c>
      <c r="F26" s="153" t="s">
        <v>170</v>
      </c>
      <c r="G26" s="136" t="s">
        <v>105</v>
      </c>
      <c r="H26" s="136" t="s">
        <v>106</v>
      </c>
      <c r="I26" s="127">
        <v>42244.333333333336</v>
      </c>
      <c r="J26">
        <v>0.96275</v>
      </c>
      <c r="K26" t="s">
        <v>171</v>
      </c>
      <c r="L26">
        <v>0.96505</v>
      </c>
      <c r="M26">
        <v>128</v>
      </c>
      <c r="N26" s="138">
        <f t="shared" si="8"/>
        <v>22.999999999999687</v>
      </c>
      <c r="O26" s="149">
        <f t="shared" si="9"/>
        <v>39.1130434782614</v>
      </c>
      <c r="P26" s="138">
        <f t="shared" si="10"/>
        <v>40.62</v>
      </c>
      <c r="Q26">
        <v>1</v>
      </c>
      <c r="R26" s="136" t="s">
        <v>105</v>
      </c>
      <c r="S26" t="s">
        <v>173</v>
      </c>
      <c r="T26">
        <v>0.96506</v>
      </c>
      <c r="U26" t="s">
        <v>110</v>
      </c>
      <c r="V26" s="137" t="str">
        <f t="shared" si="5"/>
        <v>負け</v>
      </c>
      <c r="W26" s="172">
        <f t="shared" si="6"/>
        <v>-0.0023100000000000342</v>
      </c>
      <c r="X26" s="138">
        <f t="shared" si="2"/>
        <v>0</v>
      </c>
      <c r="Y26" s="148">
        <f t="shared" si="7"/>
        <v>-23.100000000000342</v>
      </c>
      <c r="Z26" s="138">
        <f t="shared" si="3"/>
        <v>-3</v>
      </c>
      <c r="AA26">
        <v>-297</v>
      </c>
      <c r="AB26" t="s">
        <v>174</v>
      </c>
    </row>
    <row r="27" spans="1:28" ht="13.5">
      <c r="A27" s="138">
        <f t="shared" si="0"/>
        <v>23</v>
      </c>
      <c r="B27" s="138">
        <f t="shared" si="4"/>
        <v>44683</v>
      </c>
      <c r="C27" s="140">
        <f>'ルール＆合計'!$F$3</f>
        <v>0.02</v>
      </c>
      <c r="D27" s="139">
        <f t="shared" si="1"/>
        <v>893.66</v>
      </c>
      <c r="E27">
        <v>1000</v>
      </c>
      <c r="F27" s="153" t="s">
        <v>176</v>
      </c>
      <c r="G27" s="136" t="s">
        <v>108</v>
      </c>
      <c r="H27" s="136" t="s">
        <v>106</v>
      </c>
      <c r="I27" s="127">
        <v>42247.166666666664</v>
      </c>
      <c r="J27">
        <v>0.68433</v>
      </c>
      <c r="K27" t="s">
        <v>175</v>
      </c>
      <c r="L27">
        <v>0.6877</v>
      </c>
      <c r="M27">
        <v>128</v>
      </c>
      <c r="N27" s="138">
        <f t="shared" si="8"/>
        <v>33.69999999999984</v>
      </c>
      <c r="O27" s="149">
        <f t="shared" si="9"/>
        <v>26.51810089020784</v>
      </c>
      <c r="P27" s="138">
        <f t="shared" si="10"/>
        <v>38.75</v>
      </c>
      <c r="Q27">
        <v>1</v>
      </c>
      <c r="R27" s="136" t="s">
        <v>105</v>
      </c>
      <c r="T27">
        <v>0.68433</v>
      </c>
      <c r="U27" t="s">
        <v>111</v>
      </c>
      <c r="V27" s="137">
        <f t="shared" si="5"/>
      </c>
      <c r="W27" s="172">
        <f t="shared" si="6"/>
        <v>0</v>
      </c>
      <c r="X27" s="138">
        <f t="shared" si="2"/>
      </c>
      <c r="Y27" s="148">
        <f t="shared" si="7"/>
      </c>
      <c r="Z27" s="138">
        <f t="shared" si="3"/>
      </c>
      <c r="AA27">
        <v>0</v>
      </c>
      <c r="AB27" t="s">
        <v>182</v>
      </c>
    </row>
    <row r="28" spans="1:28" ht="13.5">
      <c r="A28" s="138">
        <f t="shared" si="0"/>
        <v>24</v>
      </c>
      <c r="B28" s="138">
        <f t="shared" si="4"/>
        <v>44683</v>
      </c>
      <c r="C28" s="140">
        <f>'ルール＆合計'!$F$3</f>
        <v>0.02</v>
      </c>
      <c r="D28" s="139">
        <f t="shared" si="1"/>
        <v>893.66</v>
      </c>
      <c r="E28">
        <v>1000</v>
      </c>
      <c r="F28" s="153" t="s">
        <v>135</v>
      </c>
      <c r="G28" s="136" t="s">
        <v>108</v>
      </c>
      <c r="H28" s="136" t="s">
        <v>106</v>
      </c>
      <c r="I28" s="156">
        <v>42247.166666666664</v>
      </c>
      <c r="J28">
        <v>86.393</v>
      </c>
      <c r="K28" t="s">
        <v>177</v>
      </c>
      <c r="L28">
        <v>86.787</v>
      </c>
      <c r="M28">
        <v>86.39</v>
      </c>
      <c r="N28" s="138">
        <f t="shared" si="8"/>
        <v>39.400000000000546</v>
      </c>
      <c r="O28" s="149">
        <f t="shared" si="9"/>
        <v>22.681725888324557</v>
      </c>
      <c r="P28" s="138">
        <f t="shared" si="10"/>
        <v>0.26</v>
      </c>
      <c r="Q28">
        <v>1</v>
      </c>
      <c r="R28" s="136" t="s">
        <v>105</v>
      </c>
      <c r="S28" s="127">
        <v>42247.2875</v>
      </c>
      <c r="T28">
        <v>86.346</v>
      </c>
      <c r="U28" t="s">
        <v>180</v>
      </c>
      <c r="V28" s="137" t="str">
        <f t="shared" si="5"/>
        <v>勝ち</v>
      </c>
      <c r="W28" s="172">
        <f t="shared" si="6"/>
        <v>0.046999999999997044</v>
      </c>
      <c r="X28" s="138">
        <f t="shared" si="2"/>
        <v>4.699999999999704</v>
      </c>
      <c r="Y28" s="148">
        <f t="shared" si="7"/>
        <v>0</v>
      </c>
      <c r="Z28" s="138">
        <f t="shared" si="3"/>
        <v>47</v>
      </c>
      <c r="AA28">
        <v>45</v>
      </c>
      <c r="AB28" t="s">
        <v>183</v>
      </c>
    </row>
    <row r="29" spans="1:28" ht="13.5">
      <c r="A29" s="138">
        <f t="shared" si="0"/>
        <v>25</v>
      </c>
      <c r="B29" s="138">
        <f t="shared" si="4"/>
        <v>44728</v>
      </c>
      <c r="C29" s="140">
        <f>'ルール＆合計'!$F$3</f>
        <v>0.02</v>
      </c>
      <c r="D29" s="139">
        <f t="shared" si="1"/>
        <v>894.5600000000001</v>
      </c>
      <c r="E29">
        <v>1000</v>
      </c>
      <c r="F29" s="153" t="s">
        <v>178</v>
      </c>
      <c r="G29" s="136" t="s">
        <v>108</v>
      </c>
      <c r="H29" s="136" t="s">
        <v>112</v>
      </c>
      <c r="I29" s="156">
        <v>42247.416666666664</v>
      </c>
      <c r="J29">
        <v>2.40345</v>
      </c>
      <c r="K29" t="s">
        <v>179</v>
      </c>
      <c r="L29">
        <v>2.39671</v>
      </c>
      <c r="M29">
        <v>89</v>
      </c>
      <c r="N29" s="138">
        <f t="shared" si="8"/>
        <v>67.39999999999746</v>
      </c>
      <c r="O29" s="149">
        <f t="shared" si="9"/>
        <v>13.27240356083136</v>
      </c>
      <c r="P29" s="138">
        <f t="shared" si="10"/>
        <v>5.52</v>
      </c>
      <c r="Q29">
        <v>1</v>
      </c>
      <c r="R29" s="136" t="s">
        <v>105</v>
      </c>
      <c r="S29" s="127">
        <v>42247.498611111114</v>
      </c>
      <c r="T29">
        <v>2.41393</v>
      </c>
      <c r="U29" t="s">
        <v>180</v>
      </c>
      <c r="V29" s="137" t="str">
        <f t="shared" si="5"/>
        <v>勝ち</v>
      </c>
      <c r="W29" s="172">
        <f t="shared" si="6"/>
        <v>0.010480000000000267</v>
      </c>
      <c r="X29" s="138">
        <f t="shared" si="2"/>
        <v>104.80000000000267</v>
      </c>
      <c r="Y29" s="148">
        <f t="shared" si="7"/>
        <v>0</v>
      </c>
      <c r="Z29" s="138">
        <f t="shared" si="3"/>
        <v>11</v>
      </c>
      <c r="AA29">
        <v>794</v>
      </c>
      <c r="AB29" t="s">
        <v>181</v>
      </c>
    </row>
    <row r="30" spans="1:28" ht="13.5" customHeight="1">
      <c r="A30" s="138">
        <f t="shared" si="0"/>
        <v>26</v>
      </c>
      <c r="B30" s="138">
        <f t="shared" si="4"/>
        <v>45522</v>
      </c>
      <c r="C30" s="140">
        <f>'ルール＆合計'!$F$3</f>
        <v>0.02</v>
      </c>
      <c r="D30" s="139">
        <f t="shared" si="1"/>
        <v>910.44</v>
      </c>
      <c r="E30">
        <v>1000</v>
      </c>
      <c r="F30" s="153" t="s">
        <v>184</v>
      </c>
      <c r="G30" s="136" t="s">
        <v>105</v>
      </c>
      <c r="H30" s="136" t="s">
        <v>106</v>
      </c>
      <c r="I30" s="156">
        <v>42247.708333333336</v>
      </c>
      <c r="J30">
        <v>121.078</v>
      </c>
      <c r="K30" t="s">
        <v>191</v>
      </c>
      <c r="L30">
        <v>121.417</v>
      </c>
      <c r="N30" s="138">
        <f t="shared" si="8"/>
        <v>33.899999999999864</v>
      </c>
      <c r="O30" s="149">
        <f t="shared" si="9"/>
        <v>26.856637168141702</v>
      </c>
      <c r="P30" s="138">
        <f t="shared" si="10"/>
        <v>0.22</v>
      </c>
      <c r="Q30">
        <v>1</v>
      </c>
      <c r="R30" s="136" t="s">
        <v>105</v>
      </c>
      <c r="S30" s="127">
        <v>42249.145833333336</v>
      </c>
      <c r="T30">
        <v>120.299</v>
      </c>
      <c r="U30" t="s">
        <v>249</v>
      </c>
      <c r="V30" s="137" t="str">
        <f t="shared" si="5"/>
        <v>勝ち</v>
      </c>
      <c r="W30" s="172">
        <f t="shared" si="6"/>
        <v>0.7789999999999964</v>
      </c>
      <c r="X30" s="138">
        <f t="shared" si="2"/>
        <v>77.89999999999964</v>
      </c>
      <c r="Y30" s="148">
        <f t="shared" si="7"/>
        <v>0</v>
      </c>
      <c r="Z30" s="138">
        <f t="shared" si="3"/>
        <v>779</v>
      </c>
      <c r="AA30">
        <v>759</v>
      </c>
      <c r="AB30" t="s">
        <v>250</v>
      </c>
    </row>
    <row r="31" spans="1:28" ht="13.5">
      <c r="A31" s="138">
        <f t="shared" si="0"/>
        <v>27</v>
      </c>
      <c r="B31" s="138">
        <f t="shared" si="4"/>
        <v>46281</v>
      </c>
      <c r="C31" s="140">
        <f>'ルール＆合計'!$F$3</f>
        <v>0.02</v>
      </c>
      <c r="D31" s="139">
        <f t="shared" si="1"/>
        <v>925.62</v>
      </c>
      <c r="E31">
        <v>1000</v>
      </c>
      <c r="F31" s="153" t="s">
        <v>251</v>
      </c>
      <c r="G31" s="136" t="s">
        <v>108</v>
      </c>
      <c r="H31" s="136" t="s">
        <v>112</v>
      </c>
      <c r="I31" s="156">
        <v>42249.125</v>
      </c>
      <c r="J31">
        <v>1.53059</v>
      </c>
      <c r="K31" t="s">
        <v>252</v>
      </c>
      <c r="L31">
        <v>1.52991</v>
      </c>
      <c r="N31" s="138">
        <f t="shared" si="8"/>
        <v>6.799999999997919</v>
      </c>
      <c r="O31" s="149">
        <f t="shared" si="9"/>
        <v>136.1205882353358</v>
      </c>
      <c r="P31" s="138">
        <f t="shared" si="10"/>
        <v>88.93</v>
      </c>
      <c r="Q31">
        <v>2</v>
      </c>
      <c r="R31" s="136" t="s">
        <v>105</v>
      </c>
      <c r="S31" s="127">
        <v>42250.21388888889</v>
      </c>
      <c r="T31">
        <v>1.52986</v>
      </c>
      <c r="U31" t="s">
        <v>110</v>
      </c>
      <c r="V31" s="137" t="str">
        <f t="shared" si="5"/>
        <v>負け</v>
      </c>
      <c r="W31" s="172">
        <f t="shared" si="6"/>
        <v>-0.0007299999999998974</v>
      </c>
      <c r="X31" s="138">
        <f t="shared" si="2"/>
        <v>0</v>
      </c>
      <c r="Y31" s="148">
        <f t="shared" si="7"/>
        <v>-7.299999999998974</v>
      </c>
      <c r="Z31" s="138">
        <f t="shared" si="3"/>
        <v>-2</v>
      </c>
      <c r="AA31">
        <v>-286</v>
      </c>
      <c r="AB31" t="s">
        <v>253</v>
      </c>
    </row>
    <row r="32" spans="1:28" ht="13.5" customHeight="1">
      <c r="A32" s="138">
        <f t="shared" si="0"/>
        <v>28</v>
      </c>
      <c r="B32" s="138">
        <f t="shared" si="4"/>
        <v>45995</v>
      </c>
      <c r="C32" s="140">
        <f>'ルール＆合計'!$F$3</f>
        <v>0.02</v>
      </c>
      <c r="D32" s="139">
        <f t="shared" si="1"/>
        <v>919.9</v>
      </c>
      <c r="E32">
        <v>1000</v>
      </c>
      <c r="F32" s="153" t="s">
        <v>254</v>
      </c>
      <c r="G32" s="136" t="s">
        <v>105</v>
      </c>
      <c r="H32" s="136" t="s">
        <v>106</v>
      </c>
      <c r="I32" s="127">
        <v>42251.243055555555</v>
      </c>
      <c r="J32">
        <v>1.0817</v>
      </c>
      <c r="K32" t="s">
        <v>255</v>
      </c>
      <c r="L32">
        <v>1.0845</v>
      </c>
      <c r="N32" s="138">
        <f t="shared" si="8"/>
        <v>27.999999999999137</v>
      </c>
      <c r="O32" s="149">
        <f t="shared" si="9"/>
        <v>32.853571428572444</v>
      </c>
      <c r="P32" s="138">
        <f t="shared" si="10"/>
        <v>30.37</v>
      </c>
      <c r="Q32">
        <v>1</v>
      </c>
      <c r="R32" s="136" t="s">
        <v>105</v>
      </c>
      <c r="S32" s="127">
        <v>42251.42152777778</v>
      </c>
      <c r="T32">
        <v>1.0845</v>
      </c>
      <c r="U32" t="s">
        <v>110</v>
      </c>
      <c r="V32" s="137" t="str">
        <f t="shared" si="5"/>
        <v>負け</v>
      </c>
      <c r="W32" s="172">
        <f t="shared" si="6"/>
        <v>-0.0027999999999999137</v>
      </c>
      <c r="X32" s="138">
        <f t="shared" si="2"/>
        <v>0</v>
      </c>
      <c r="Y32" s="148">
        <f t="shared" si="7"/>
        <v>-27.999999999999137</v>
      </c>
      <c r="Z32" s="138">
        <f t="shared" si="3"/>
        <v>-3</v>
      </c>
      <c r="AA32">
        <v>-346</v>
      </c>
      <c r="AB32" t="s">
        <v>256</v>
      </c>
    </row>
    <row r="33" spans="1:28" ht="13.5" customHeight="1">
      <c r="A33" s="138">
        <f t="shared" si="0"/>
        <v>29</v>
      </c>
      <c r="B33" s="138">
        <f t="shared" si="4"/>
        <v>45649</v>
      </c>
      <c r="C33" s="140">
        <f>'ルール＆合計'!$F$3</f>
        <v>0.02</v>
      </c>
      <c r="D33" s="139">
        <f t="shared" si="1"/>
        <v>912.98</v>
      </c>
      <c r="E33">
        <v>1000</v>
      </c>
      <c r="F33" s="153" t="s">
        <v>152</v>
      </c>
      <c r="G33" s="136" t="s">
        <v>105</v>
      </c>
      <c r="H33" s="136" t="s">
        <v>112</v>
      </c>
      <c r="I33" s="127">
        <v>42254.14166666667</v>
      </c>
      <c r="J33">
        <v>1.10428</v>
      </c>
      <c r="K33" t="s">
        <v>257</v>
      </c>
      <c r="L33">
        <v>1.09636</v>
      </c>
      <c r="N33" s="138">
        <f t="shared" si="8"/>
        <v>79.19999999999926</v>
      </c>
      <c r="O33" s="149">
        <f t="shared" si="9"/>
        <v>11.52752525252536</v>
      </c>
      <c r="P33" s="138">
        <f t="shared" si="10"/>
        <v>10.43</v>
      </c>
      <c r="Q33">
        <v>1</v>
      </c>
      <c r="R33" s="136" t="s">
        <v>105</v>
      </c>
      <c r="S33" s="127">
        <v>42255.02361111111</v>
      </c>
      <c r="T33">
        <v>1.10431</v>
      </c>
      <c r="U33" t="s">
        <v>162</v>
      </c>
      <c r="V33" s="137" t="str">
        <f t="shared" si="5"/>
        <v>勝ち</v>
      </c>
      <c r="W33" s="172">
        <f>IF(T33&lt;&gt;"",IF(LEFT(H33,1)="買",T33-J33,IF(LEFT(H33,1)="売",J33-T33)),"")</f>
        <v>2.999999999997449E-05</v>
      </c>
      <c r="X33" s="138">
        <f t="shared" si="2"/>
        <v>0.2999999999997449</v>
      </c>
      <c r="Y33" s="148">
        <f t="shared" si="7"/>
        <v>0</v>
      </c>
      <c r="Z33" s="138">
        <f t="shared" si="3"/>
        <v>1</v>
      </c>
      <c r="AA33">
        <v>1</v>
      </c>
      <c r="AB33" t="s">
        <v>260</v>
      </c>
    </row>
    <row r="34" spans="1:28" ht="13.5" customHeight="1">
      <c r="A34" s="138">
        <f t="shared" si="0"/>
        <v>30</v>
      </c>
      <c r="B34" s="138">
        <f t="shared" si="4"/>
        <v>45650</v>
      </c>
      <c r="C34" s="140">
        <f>'ルール＆合計'!$F$3</f>
        <v>0.02</v>
      </c>
      <c r="D34" s="139">
        <f t="shared" si="1"/>
        <v>913</v>
      </c>
      <c r="E34">
        <v>1000</v>
      </c>
      <c r="F34" s="153" t="s">
        <v>118</v>
      </c>
      <c r="G34" s="136" t="s">
        <v>105</v>
      </c>
      <c r="H34" s="136" t="s">
        <v>112</v>
      </c>
      <c r="I34" s="127">
        <v>42254.125</v>
      </c>
      <c r="J34">
        <v>1.11768</v>
      </c>
      <c r="K34" t="s">
        <v>258</v>
      </c>
      <c r="L34">
        <v>1.11321</v>
      </c>
      <c r="N34" s="138">
        <f t="shared" si="8"/>
        <v>44.69999999999974</v>
      </c>
      <c r="O34" s="149">
        <f t="shared" si="9"/>
        <v>20.42505592841175</v>
      </c>
      <c r="P34" s="138">
        <f t="shared" si="10"/>
        <v>18.27</v>
      </c>
      <c r="Q34">
        <v>1</v>
      </c>
      <c r="R34" s="136" t="s">
        <v>105</v>
      </c>
      <c r="S34" s="127">
        <v>42255.21944444445</v>
      </c>
      <c r="T34">
        <v>1.12263</v>
      </c>
      <c r="U34" t="s">
        <v>148</v>
      </c>
      <c r="V34" s="137" t="str">
        <f t="shared" si="5"/>
        <v>勝ち</v>
      </c>
      <c r="W34" s="172">
        <f t="shared" si="6"/>
        <v>0.00495000000000001</v>
      </c>
      <c r="X34" s="138">
        <f t="shared" si="2"/>
        <v>49.5000000000001</v>
      </c>
      <c r="Y34" s="148">
        <f t="shared" si="7"/>
        <v>0</v>
      </c>
      <c r="Z34" s="138">
        <f t="shared" si="3"/>
        <v>5</v>
      </c>
      <c r="AA34">
        <v>592</v>
      </c>
      <c r="AB34" t="s">
        <v>304</v>
      </c>
    </row>
    <row r="35" spans="1:28" ht="13.5" customHeight="1">
      <c r="A35" s="138">
        <f t="shared" si="0"/>
        <v>31</v>
      </c>
      <c r="B35" s="138">
        <f t="shared" si="4"/>
        <v>46242</v>
      </c>
      <c r="C35" s="140">
        <f>'ルール＆合計'!$F$3</f>
        <v>0.02</v>
      </c>
      <c r="D35" s="139">
        <f t="shared" si="1"/>
        <v>924.84</v>
      </c>
      <c r="E35">
        <v>1000</v>
      </c>
      <c r="F35" s="153" t="s">
        <v>136</v>
      </c>
      <c r="G35" s="136" t="s">
        <v>108</v>
      </c>
      <c r="H35" s="136" t="s">
        <v>112</v>
      </c>
      <c r="I35" s="127">
        <v>42254.16736111111</v>
      </c>
      <c r="J35">
        <v>133.09</v>
      </c>
      <c r="K35" t="s">
        <v>259</v>
      </c>
      <c r="L35">
        <v>132.656</v>
      </c>
      <c r="N35" s="138">
        <f t="shared" si="8"/>
        <v>43.39999999999975</v>
      </c>
      <c r="O35" s="149">
        <f t="shared" si="9"/>
        <v>21.309677419354962</v>
      </c>
      <c r="P35" s="138">
        <f t="shared" si="10"/>
        <v>0.16</v>
      </c>
      <c r="Q35">
        <v>1</v>
      </c>
      <c r="R35" s="136" t="s">
        <v>105</v>
      </c>
      <c r="S35" s="127">
        <v>42255.21944444445</v>
      </c>
      <c r="T35">
        <v>133.09</v>
      </c>
      <c r="U35" t="s">
        <v>162</v>
      </c>
      <c r="V35" s="137" t="str">
        <f t="shared" si="5"/>
        <v>負け</v>
      </c>
      <c r="W35" s="172">
        <f t="shared" si="6"/>
        <v>0</v>
      </c>
      <c r="X35" s="138">
        <f t="shared" si="2"/>
        <v>0</v>
      </c>
      <c r="Y35" s="148">
        <f t="shared" si="7"/>
        <v>0</v>
      </c>
      <c r="Z35" s="138">
        <f t="shared" si="3"/>
        <v>0</v>
      </c>
      <c r="AA35">
        <v>-2</v>
      </c>
      <c r="AB35" t="s">
        <v>261</v>
      </c>
    </row>
    <row r="36" spans="1:28" ht="13.5" customHeight="1">
      <c r="A36" s="138">
        <f t="shared" si="0"/>
        <v>32</v>
      </c>
      <c r="B36" s="138">
        <f t="shared" si="4"/>
        <v>46240</v>
      </c>
      <c r="C36" s="140">
        <f>'ルール＆合計'!$F$3</f>
        <v>0.02</v>
      </c>
      <c r="D36" s="139">
        <f t="shared" si="1"/>
        <v>924.8000000000001</v>
      </c>
      <c r="E36">
        <v>1000</v>
      </c>
      <c r="F36" s="153" t="s">
        <v>136</v>
      </c>
      <c r="G36" s="136" t="s">
        <v>108</v>
      </c>
      <c r="H36" s="136" t="s">
        <v>112</v>
      </c>
      <c r="I36" s="127">
        <v>42255.29236111111</v>
      </c>
      <c r="J36">
        <v>133.372</v>
      </c>
      <c r="K36" t="s">
        <v>262</v>
      </c>
      <c r="L36">
        <v>132.966</v>
      </c>
      <c r="N36" s="138">
        <f t="shared" si="8"/>
        <v>40.60000000000059</v>
      </c>
      <c r="O36" s="149">
        <f t="shared" si="9"/>
        <v>22.778325123152378</v>
      </c>
      <c r="P36" s="138">
        <f t="shared" si="10"/>
        <v>0.17</v>
      </c>
      <c r="Q36">
        <v>1</v>
      </c>
      <c r="R36" s="136" t="s">
        <v>105</v>
      </c>
      <c r="S36" s="127">
        <v>42255.743055555555</v>
      </c>
      <c r="T36">
        <v>134.029</v>
      </c>
      <c r="U36" t="s">
        <v>306</v>
      </c>
      <c r="V36" s="137" t="str">
        <f t="shared" si="5"/>
        <v>勝ち</v>
      </c>
      <c r="W36" s="172">
        <f t="shared" si="6"/>
        <v>0.6569999999999823</v>
      </c>
      <c r="X36" s="138">
        <f t="shared" si="2"/>
        <v>65.69999999999823</v>
      </c>
      <c r="Y36" s="148">
        <f t="shared" si="7"/>
        <v>0</v>
      </c>
      <c r="Z36" s="138">
        <f t="shared" si="3"/>
        <v>657</v>
      </c>
      <c r="AA36">
        <v>657</v>
      </c>
      <c r="AB36" t="s">
        <v>307</v>
      </c>
    </row>
    <row r="37" spans="1:28" ht="13.5" customHeight="1">
      <c r="A37" s="138">
        <f t="shared" si="0"/>
        <v>33</v>
      </c>
      <c r="B37" s="138">
        <f t="shared" si="4"/>
        <v>46897</v>
      </c>
      <c r="C37" s="140">
        <f>'ルール＆合計'!$F$3</f>
        <v>0.02</v>
      </c>
      <c r="D37" s="139">
        <f t="shared" si="1"/>
        <v>937.94</v>
      </c>
      <c r="E37">
        <v>1000</v>
      </c>
      <c r="F37" s="153" t="s">
        <v>263</v>
      </c>
      <c r="G37" s="136" t="s">
        <v>108</v>
      </c>
      <c r="H37" s="136" t="s">
        <v>106</v>
      </c>
      <c r="I37" s="156">
        <v>42255.31805555556</v>
      </c>
      <c r="J37">
        <v>1.3287</v>
      </c>
      <c r="K37" t="s">
        <v>264</v>
      </c>
      <c r="L37">
        <v>1.33049</v>
      </c>
      <c r="N37" s="138">
        <f t="shared" si="8"/>
        <v>17.899999999999583</v>
      </c>
      <c r="O37" s="149">
        <f t="shared" si="9"/>
        <v>52.39888268156547</v>
      </c>
      <c r="P37" s="138">
        <f t="shared" si="10"/>
        <v>39.43</v>
      </c>
      <c r="Q37">
        <v>1</v>
      </c>
      <c r="R37" s="136" t="s">
        <v>105</v>
      </c>
      <c r="S37" s="127">
        <v>42255.708333333336</v>
      </c>
      <c r="T37">
        <v>1.32563</v>
      </c>
      <c r="U37" t="s">
        <v>308</v>
      </c>
      <c r="V37" s="137" t="str">
        <f t="shared" si="5"/>
        <v>勝ち</v>
      </c>
      <c r="W37" s="172">
        <f t="shared" si="6"/>
        <v>0.003069999999999906</v>
      </c>
      <c r="X37" s="138">
        <f t="shared" si="2"/>
        <v>30.69999999999906</v>
      </c>
      <c r="Y37" s="148">
        <f t="shared" si="7"/>
        <v>0</v>
      </c>
      <c r="Z37" s="138">
        <f t="shared" si="3"/>
        <v>4</v>
      </c>
      <c r="AA37">
        <v>276</v>
      </c>
      <c r="AB37" t="s">
        <v>309</v>
      </c>
    </row>
    <row r="38" spans="1:28" ht="13.5" customHeight="1">
      <c r="A38" s="138">
        <f t="shared" si="0"/>
        <v>34</v>
      </c>
      <c r="B38" s="138">
        <f t="shared" si="4"/>
        <v>47173</v>
      </c>
      <c r="C38" s="140">
        <f>'ルール＆合計'!$F$3</f>
        <v>0.02</v>
      </c>
      <c r="D38" s="139">
        <f t="shared" si="1"/>
        <v>943.46</v>
      </c>
      <c r="E38">
        <v>1000</v>
      </c>
      <c r="F38" s="153" t="s">
        <v>160</v>
      </c>
      <c r="G38" s="136" t="s">
        <v>108</v>
      </c>
      <c r="H38" s="136" t="s">
        <v>106</v>
      </c>
      <c r="I38" s="127">
        <v>42255.40694444445</v>
      </c>
      <c r="J38">
        <v>1.48765</v>
      </c>
      <c r="K38" t="s">
        <v>305</v>
      </c>
      <c r="L38">
        <v>1.49049</v>
      </c>
      <c r="N38" s="138">
        <f t="shared" si="8"/>
        <v>28.400000000001757</v>
      </c>
      <c r="O38" s="149">
        <f t="shared" si="9"/>
        <v>33.22042253520922</v>
      </c>
      <c r="P38" s="138">
        <f t="shared" si="10"/>
        <v>22.33</v>
      </c>
      <c r="Q38">
        <v>1</v>
      </c>
      <c r="R38" s="136" t="s">
        <v>105</v>
      </c>
      <c r="S38" s="127">
        <v>42255.70972222222</v>
      </c>
      <c r="T38">
        <v>1.48314</v>
      </c>
      <c r="U38" t="s">
        <v>180</v>
      </c>
      <c r="V38" s="137" t="str">
        <f t="shared" si="5"/>
        <v>勝ち</v>
      </c>
      <c r="W38" s="172">
        <f t="shared" si="6"/>
        <v>0.004510000000000014</v>
      </c>
      <c r="X38" s="138">
        <f t="shared" si="2"/>
        <v>45.100000000000136</v>
      </c>
      <c r="Y38" s="148">
        <f t="shared" si="7"/>
        <v>0</v>
      </c>
      <c r="Z38" s="138">
        <f t="shared" si="3"/>
        <v>5</v>
      </c>
      <c r="AA38">
        <v>401</v>
      </c>
      <c r="AB38" t="s">
        <v>310</v>
      </c>
    </row>
    <row r="39" spans="1:28" ht="13.5" customHeight="1">
      <c r="A39" s="138">
        <f t="shared" si="0"/>
        <v>35</v>
      </c>
      <c r="B39" s="138">
        <f t="shared" si="4"/>
        <v>47574</v>
      </c>
      <c r="C39" s="140">
        <f>'ルール＆合計'!$F$3</f>
        <v>0.02</v>
      </c>
      <c r="D39" s="139">
        <f t="shared" si="1"/>
        <v>951.48</v>
      </c>
      <c r="E39">
        <v>1000</v>
      </c>
      <c r="F39" s="153" t="s">
        <v>311</v>
      </c>
      <c r="G39" s="136" t="s">
        <v>316</v>
      </c>
      <c r="H39" s="136" t="s">
        <v>106</v>
      </c>
      <c r="I39" s="127">
        <v>42256.30069444444</v>
      </c>
      <c r="J39">
        <v>1.47291</v>
      </c>
      <c r="K39" t="s">
        <v>318</v>
      </c>
      <c r="L39">
        <v>1.47454</v>
      </c>
      <c r="N39" s="138">
        <f t="shared" si="8"/>
        <v>16.300000000000203</v>
      </c>
      <c r="O39" s="149">
        <f t="shared" si="9"/>
        <v>58.3730061349686</v>
      </c>
      <c r="P39" s="138">
        <f t="shared" si="10"/>
        <v>39.63</v>
      </c>
      <c r="Q39">
        <v>1</v>
      </c>
      <c r="R39" s="136" t="s">
        <v>105</v>
      </c>
      <c r="S39" s="127">
        <v>42256.35138888889</v>
      </c>
      <c r="T39">
        <v>1.47457</v>
      </c>
      <c r="U39" t="s">
        <v>110</v>
      </c>
      <c r="V39" s="137" t="str">
        <f t="shared" si="5"/>
        <v>負け</v>
      </c>
      <c r="W39" s="172">
        <f t="shared" si="6"/>
        <v>-0.0016599999999999948</v>
      </c>
      <c r="X39" s="138">
        <f t="shared" si="2"/>
        <v>0</v>
      </c>
      <c r="Y39" s="148">
        <f t="shared" si="7"/>
        <v>-16.599999999999948</v>
      </c>
      <c r="Z39" s="138">
        <f t="shared" si="3"/>
        <v>-2</v>
      </c>
      <c r="AA39">
        <v>-152</v>
      </c>
      <c r="AB39" t="s">
        <v>319</v>
      </c>
    </row>
    <row r="40" spans="1:28" ht="13.5" customHeight="1">
      <c r="A40" s="138">
        <f t="shared" si="0"/>
        <v>36</v>
      </c>
      <c r="B40" s="138">
        <f t="shared" si="4"/>
        <v>47422</v>
      </c>
      <c r="C40" s="140">
        <f>'ルール＆合計'!$F$3</f>
        <v>0.02</v>
      </c>
      <c r="D40" s="139">
        <f t="shared" si="1"/>
        <v>948.44</v>
      </c>
      <c r="E40">
        <v>1000</v>
      </c>
      <c r="F40" s="153" t="s">
        <v>312</v>
      </c>
      <c r="G40" s="136" t="s">
        <v>316</v>
      </c>
      <c r="H40" s="136" t="s">
        <v>106</v>
      </c>
      <c r="I40" s="127">
        <v>42256.342361111114</v>
      </c>
      <c r="J40">
        <v>1.58185</v>
      </c>
      <c r="K40" t="s">
        <v>313</v>
      </c>
      <c r="L40">
        <v>1.58596</v>
      </c>
      <c r="N40" s="138">
        <f t="shared" si="8"/>
        <v>41.10000000000058</v>
      </c>
      <c r="O40" s="149">
        <f t="shared" si="9"/>
        <v>23.076399026763667</v>
      </c>
      <c r="P40" s="138">
        <f t="shared" si="10"/>
        <v>14.58</v>
      </c>
      <c r="Q40">
        <v>1</v>
      </c>
      <c r="R40" s="136" t="s">
        <v>105</v>
      </c>
      <c r="S40" s="127">
        <v>42256.41875</v>
      </c>
      <c r="T40">
        <v>2.18456</v>
      </c>
      <c r="U40" t="s">
        <v>110</v>
      </c>
      <c r="V40" s="137" t="str">
        <f t="shared" si="5"/>
        <v>負け</v>
      </c>
      <c r="W40" s="172">
        <f t="shared" si="6"/>
        <v>-0.6027099999999999</v>
      </c>
      <c r="X40" s="138">
        <f t="shared" si="2"/>
        <v>0</v>
      </c>
      <c r="Y40" s="148">
        <f t="shared" si="7"/>
        <v>-6027.0999999999985</v>
      </c>
      <c r="Z40" s="138">
        <f t="shared" si="3"/>
        <v>-603</v>
      </c>
      <c r="AA40">
        <v>-255</v>
      </c>
      <c r="AB40" t="s">
        <v>321</v>
      </c>
    </row>
    <row r="41" spans="1:28" ht="13.5" customHeight="1">
      <c r="A41" s="138">
        <f t="shared" si="0"/>
        <v>37</v>
      </c>
      <c r="B41" s="138">
        <f t="shared" si="4"/>
        <v>47167</v>
      </c>
      <c r="C41" s="140">
        <f>'ルール＆合計'!$F$3</f>
        <v>0.02</v>
      </c>
      <c r="D41" s="139">
        <f t="shared" si="1"/>
        <v>943.34</v>
      </c>
      <c r="E41">
        <v>1000</v>
      </c>
      <c r="F41" s="153" t="s">
        <v>163</v>
      </c>
      <c r="G41" s="136" t="s">
        <v>315</v>
      </c>
      <c r="H41" s="136" t="s">
        <v>106</v>
      </c>
      <c r="I41" s="127">
        <v>42256.35138888889</v>
      </c>
      <c r="J41">
        <v>2.18159</v>
      </c>
      <c r="K41" t="s">
        <v>317</v>
      </c>
      <c r="L41">
        <v>2.18449</v>
      </c>
      <c r="N41" s="138">
        <f t="shared" si="8"/>
        <v>28.999999999999027</v>
      </c>
      <c r="O41" s="149">
        <f t="shared" si="9"/>
        <v>32.52896551724247</v>
      </c>
      <c r="P41" s="138">
        <f t="shared" si="10"/>
        <v>14.91</v>
      </c>
      <c r="Q41">
        <v>1</v>
      </c>
      <c r="R41" s="136" t="s">
        <v>105</v>
      </c>
      <c r="S41" s="127">
        <v>42256.41875</v>
      </c>
      <c r="T41">
        <v>2.18456</v>
      </c>
      <c r="U41" t="s">
        <v>110</v>
      </c>
      <c r="V41" s="137" t="str">
        <f t="shared" si="5"/>
        <v>負け</v>
      </c>
      <c r="W41" s="172">
        <f t="shared" si="6"/>
        <v>-0.002969999999999917</v>
      </c>
      <c r="X41" s="138">
        <f t="shared" si="2"/>
        <v>0</v>
      </c>
      <c r="Y41" s="148">
        <f t="shared" si="7"/>
        <v>-29.69999999999917</v>
      </c>
      <c r="Z41" s="138">
        <f t="shared" si="3"/>
        <v>-3</v>
      </c>
      <c r="AA41">
        <v>-255</v>
      </c>
      <c r="AB41" t="s">
        <v>320</v>
      </c>
    </row>
    <row r="42" spans="1:28" ht="13.5" customHeight="1">
      <c r="A42" s="138">
        <f t="shared" si="0"/>
        <v>38</v>
      </c>
      <c r="B42" s="138">
        <f t="shared" si="4"/>
        <v>46912</v>
      </c>
      <c r="C42" s="140">
        <f>'ルール＆合計'!$F$3</f>
        <v>0.02</v>
      </c>
      <c r="D42" s="139">
        <f t="shared" si="1"/>
        <v>938.24</v>
      </c>
      <c r="E42">
        <v>1000</v>
      </c>
      <c r="F42" s="153" t="s">
        <v>322</v>
      </c>
      <c r="G42" s="136" t="s">
        <v>323</v>
      </c>
      <c r="H42" s="136" t="s">
        <v>112</v>
      </c>
      <c r="I42" s="127">
        <v>42255.81319444445</v>
      </c>
      <c r="J42">
        <v>0.70327</v>
      </c>
      <c r="K42" t="s">
        <v>324</v>
      </c>
      <c r="L42">
        <v>0.70153</v>
      </c>
      <c r="N42" s="138">
        <f t="shared" si="8"/>
        <v>17.399999999999636</v>
      </c>
      <c r="O42" s="149">
        <f t="shared" si="9"/>
        <v>53.9218390804609</v>
      </c>
      <c r="P42" s="138">
        <f t="shared" si="10"/>
        <v>76.67</v>
      </c>
      <c r="Q42">
        <v>1</v>
      </c>
      <c r="R42" s="136" t="s">
        <v>105</v>
      </c>
      <c r="S42" s="127">
        <v>42256.49513888889</v>
      </c>
      <c r="T42">
        <v>0.70328</v>
      </c>
      <c r="U42" t="s">
        <v>162</v>
      </c>
      <c r="V42" s="137" t="str">
        <f t="shared" si="5"/>
        <v>勝ち</v>
      </c>
      <c r="W42" s="172">
        <f t="shared" si="6"/>
        <v>1.0000000000065512E-05</v>
      </c>
      <c r="X42" s="138">
        <f t="shared" si="2"/>
        <v>0.10000000000065512</v>
      </c>
      <c r="Y42" s="148">
        <f t="shared" si="7"/>
        <v>0</v>
      </c>
      <c r="Z42" s="138">
        <f t="shared" si="3"/>
        <v>1</v>
      </c>
      <c r="AA42">
        <v>0</v>
      </c>
      <c r="AB42" t="s">
        <v>325</v>
      </c>
    </row>
    <row r="43" spans="1:26" ht="13.5" customHeight="1">
      <c r="A43" s="138">
        <f t="shared" si="0"/>
      </c>
      <c r="B43" s="138">
        <f t="shared" si="4"/>
      </c>
      <c r="C43" s="140">
        <f>'ルール＆合計'!$F$3</f>
        <v>0.02</v>
      </c>
      <c r="D43" s="139" t="e">
        <f t="shared" si="1"/>
        <v>#VALUE!</v>
      </c>
      <c r="N43" s="138">
        <f t="shared" si="8"/>
      </c>
      <c r="O43" s="149">
        <f t="shared" si="9"/>
      </c>
      <c r="P43" s="138">
        <f t="shared" si="10"/>
      </c>
      <c r="V43" s="137">
        <f t="shared" si="5"/>
      </c>
      <c r="W43" s="172">
        <f t="shared" si="6"/>
      </c>
      <c r="X43" s="138">
        <f t="shared" si="2"/>
      </c>
      <c r="Y43" s="148">
        <f t="shared" si="7"/>
      </c>
      <c r="Z43" s="138">
        <f t="shared" si="3"/>
      </c>
    </row>
    <row r="44" spans="1:26" ht="13.5" customHeight="1">
      <c r="A44" s="138">
        <f t="shared" si="0"/>
      </c>
      <c r="B44" s="138">
        <f t="shared" si="4"/>
      </c>
      <c r="C44" s="140">
        <f>'ルール＆合計'!$F$3</f>
        <v>0.02</v>
      </c>
      <c r="D44" s="139" t="e">
        <f t="shared" si="1"/>
        <v>#VALUE!</v>
      </c>
      <c r="N44" s="138">
        <f t="shared" si="8"/>
      </c>
      <c r="O44" s="149">
        <f t="shared" si="9"/>
      </c>
      <c r="P44" s="138">
        <f t="shared" si="10"/>
      </c>
      <c r="V44" s="137">
        <f t="shared" si="5"/>
      </c>
      <c r="W44" s="172">
        <f t="shared" si="6"/>
      </c>
      <c r="X44" s="138">
        <f t="shared" si="2"/>
      </c>
      <c r="Y44" s="148">
        <f t="shared" si="7"/>
      </c>
      <c r="Z44" s="138">
        <f t="shared" si="3"/>
      </c>
    </row>
    <row r="45" spans="1:26" ht="13.5" customHeight="1">
      <c r="A45" s="138">
        <f t="shared" si="0"/>
      </c>
      <c r="B45" s="138">
        <f t="shared" si="4"/>
      </c>
      <c r="C45" s="140">
        <f>'ルール＆合計'!$F$3</f>
        <v>0.02</v>
      </c>
      <c r="D45" s="139" t="e">
        <f t="shared" si="1"/>
        <v>#VALUE!</v>
      </c>
      <c r="N45" s="138">
        <f t="shared" si="8"/>
      </c>
      <c r="O45" s="149">
        <f t="shared" si="9"/>
      </c>
      <c r="P45" s="138">
        <f t="shared" si="10"/>
      </c>
      <c r="V45" s="137">
        <f t="shared" si="5"/>
      </c>
      <c r="W45" s="172">
        <f t="shared" si="6"/>
      </c>
      <c r="X45" s="138">
        <f t="shared" si="2"/>
      </c>
      <c r="Y45" s="148">
        <f t="shared" si="7"/>
      </c>
      <c r="Z45" s="138">
        <f t="shared" si="3"/>
      </c>
    </row>
    <row r="46" spans="1:26" ht="13.5" customHeight="1">
      <c r="A46" s="138">
        <f t="shared" si="0"/>
      </c>
      <c r="B46" s="138">
        <f t="shared" si="4"/>
      </c>
      <c r="C46" s="140">
        <f>'ルール＆合計'!$F$3</f>
        <v>0.02</v>
      </c>
      <c r="D46" s="139" t="e">
        <f t="shared" si="1"/>
        <v>#VALUE!</v>
      </c>
      <c r="N46" s="138">
        <f t="shared" si="8"/>
      </c>
      <c r="O46" s="149">
        <f t="shared" si="9"/>
      </c>
      <c r="P46" s="138">
        <f t="shared" si="10"/>
      </c>
      <c r="V46" s="137">
        <f t="shared" si="5"/>
      </c>
      <c r="W46" s="172">
        <f t="shared" si="6"/>
      </c>
      <c r="X46" s="138">
        <f t="shared" si="2"/>
      </c>
      <c r="Y46" s="148">
        <f t="shared" si="7"/>
      </c>
      <c r="Z46" s="138">
        <f t="shared" si="3"/>
      </c>
    </row>
    <row r="47" spans="1:26" ht="13.5" customHeight="1">
      <c r="A47" s="138">
        <f t="shared" si="0"/>
      </c>
      <c r="B47" s="138">
        <f t="shared" si="4"/>
      </c>
      <c r="C47" s="140">
        <f>'ルール＆合計'!$F$3</f>
        <v>0.02</v>
      </c>
      <c r="D47" s="139" t="e">
        <f t="shared" si="1"/>
        <v>#VALUE!</v>
      </c>
      <c r="N47" s="138">
        <f t="shared" si="8"/>
      </c>
      <c r="O47" s="149">
        <f t="shared" si="9"/>
      </c>
      <c r="P47" s="138">
        <f t="shared" si="10"/>
      </c>
      <c r="V47" s="137">
        <f t="shared" si="5"/>
      </c>
      <c r="W47" s="172">
        <f t="shared" si="6"/>
      </c>
      <c r="X47" s="138">
        <f t="shared" si="2"/>
      </c>
      <c r="Y47" s="148">
        <f t="shared" si="7"/>
      </c>
      <c r="Z47" s="138">
        <f t="shared" si="3"/>
      </c>
    </row>
    <row r="48" spans="1:26" ht="13.5" customHeight="1">
      <c r="A48" s="138">
        <f t="shared" si="0"/>
      </c>
      <c r="B48" s="138">
        <f t="shared" si="4"/>
      </c>
      <c r="C48" s="140">
        <f>'ルール＆合計'!$F$3</f>
        <v>0.02</v>
      </c>
      <c r="D48" s="139" t="e">
        <f t="shared" si="1"/>
        <v>#VALUE!</v>
      </c>
      <c r="N48" s="138">
        <f t="shared" si="8"/>
      </c>
      <c r="O48" s="149">
        <f t="shared" si="9"/>
      </c>
      <c r="P48" s="138">
        <f t="shared" si="10"/>
      </c>
      <c r="V48" s="137">
        <f t="shared" si="5"/>
      </c>
      <c r="W48" s="172">
        <f t="shared" si="6"/>
      </c>
      <c r="X48" s="138">
        <f t="shared" si="2"/>
      </c>
      <c r="Y48" s="148">
        <f t="shared" si="7"/>
      </c>
      <c r="Z48" s="138">
        <f t="shared" si="3"/>
      </c>
    </row>
    <row r="49" spans="1:26" ht="13.5" customHeight="1">
      <c r="A49" s="138">
        <f t="shared" si="0"/>
      </c>
      <c r="B49" s="138">
        <f t="shared" si="4"/>
      </c>
      <c r="C49" s="140">
        <f>'ルール＆合計'!$F$3</f>
        <v>0.02</v>
      </c>
      <c r="D49" s="139" t="e">
        <f t="shared" si="1"/>
        <v>#VALUE!</v>
      </c>
      <c r="N49" s="138">
        <f t="shared" si="8"/>
      </c>
      <c r="O49" s="149">
        <f t="shared" si="9"/>
      </c>
      <c r="P49" s="138">
        <f t="shared" si="10"/>
      </c>
      <c r="V49" s="137">
        <f t="shared" si="5"/>
      </c>
      <c r="W49" s="172">
        <f t="shared" si="6"/>
      </c>
      <c r="X49" s="138">
        <f t="shared" si="2"/>
      </c>
      <c r="Y49" s="148">
        <f t="shared" si="7"/>
      </c>
      <c r="Z49" s="138">
        <f t="shared" si="3"/>
      </c>
    </row>
    <row r="50" spans="1:26" ht="13.5" customHeight="1">
      <c r="A50" s="138">
        <f t="shared" si="0"/>
      </c>
      <c r="B50" s="138">
        <f t="shared" si="4"/>
      </c>
      <c r="C50" s="140">
        <f>'ルール＆合計'!$F$3</f>
        <v>0.02</v>
      </c>
      <c r="D50" s="139" t="e">
        <f t="shared" si="1"/>
        <v>#VALUE!</v>
      </c>
      <c r="N50" s="138">
        <f t="shared" si="8"/>
      </c>
      <c r="O50" s="149">
        <f t="shared" si="9"/>
      </c>
      <c r="P50" s="138">
        <f t="shared" si="10"/>
      </c>
      <c r="V50" s="137">
        <f t="shared" si="5"/>
      </c>
      <c r="W50" s="172">
        <f t="shared" si="6"/>
      </c>
      <c r="X50" s="138">
        <f t="shared" si="2"/>
      </c>
      <c r="Y50" s="148">
        <f t="shared" si="7"/>
      </c>
      <c r="Z50" s="138">
        <f t="shared" si="3"/>
      </c>
    </row>
    <row r="51" spans="1:26" ht="13.5" customHeight="1">
      <c r="A51" s="138">
        <f t="shared" si="0"/>
      </c>
      <c r="B51" s="138">
        <f t="shared" si="4"/>
      </c>
      <c r="C51" s="140">
        <f>'ルール＆合計'!$F$3</f>
        <v>0.02</v>
      </c>
      <c r="D51" s="139" t="e">
        <f t="shared" si="1"/>
        <v>#VALUE!</v>
      </c>
      <c r="N51" s="138">
        <f t="shared" si="8"/>
      </c>
      <c r="O51" s="149">
        <f t="shared" si="9"/>
      </c>
      <c r="P51" s="138">
        <f t="shared" si="10"/>
      </c>
      <c r="V51" s="137">
        <f t="shared" si="5"/>
      </c>
      <c r="W51" s="172">
        <f t="shared" si="6"/>
      </c>
      <c r="X51" s="138">
        <f t="shared" si="2"/>
      </c>
      <c r="Y51" s="148">
        <f t="shared" si="7"/>
      </c>
      <c r="Z51" s="138">
        <f t="shared" si="3"/>
      </c>
    </row>
    <row r="52" spans="1:26" ht="13.5" customHeight="1">
      <c r="A52" s="138">
        <f t="shared" si="0"/>
      </c>
      <c r="B52" s="138">
        <f t="shared" si="4"/>
      </c>
      <c r="C52" s="140">
        <f>'ルール＆合計'!$F$3</f>
        <v>0.02</v>
      </c>
      <c r="D52" s="139" t="e">
        <f t="shared" si="1"/>
        <v>#VALUE!</v>
      </c>
      <c r="N52" s="138">
        <f t="shared" si="8"/>
      </c>
      <c r="O52" s="149">
        <f t="shared" si="9"/>
      </c>
      <c r="P52" s="138">
        <f t="shared" si="10"/>
      </c>
      <c r="V52" s="137">
        <f t="shared" si="5"/>
      </c>
      <c r="W52" s="172">
        <f t="shared" si="6"/>
      </c>
      <c r="X52" s="138">
        <f t="shared" si="2"/>
      </c>
      <c r="Y52" s="148">
        <f t="shared" si="7"/>
      </c>
      <c r="Z52" s="138">
        <f t="shared" si="3"/>
      </c>
    </row>
    <row r="53" spans="1:26" ht="13.5" customHeight="1">
      <c r="A53" s="138">
        <f t="shared" si="0"/>
      </c>
      <c r="B53" s="138">
        <f t="shared" si="4"/>
      </c>
      <c r="C53" s="140">
        <f>'ルール＆合計'!$F$3</f>
        <v>0.02</v>
      </c>
      <c r="D53" s="139" t="e">
        <f t="shared" si="1"/>
        <v>#VALUE!</v>
      </c>
      <c r="N53" s="138">
        <f t="shared" si="8"/>
      </c>
      <c r="O53" s="149">
        <f t="shared" si="9"/>
      </c>
      <c r="P53" s="138">
        <f t="shared" si="10"/>
      </c>
      <c r="V53" s="137">
        <f t="shared" si="5"/>
      </c>
      <c r="W53" s="172">
        <f t="shared" si="6"/>
      </c>
      <c r="X53" s="138">
        <f t="shared" si="2"/>
      </c>
      <c r="Y53" s="148">
        <f t="shared" si="7"/>
      </c>
      <c r="Z53" s="138">
        <f t="shared" si="3"/>
      </c>
    </row>
    <row r="54" spans="1:26" ht="13.5" customHeight="1">
      <c r="A54" s="138">
        <f t="shared" si="0"/>
      </c>
      <c r="B54" s="138">
        <f t="shared" si="4"/>
      </c>
      <c r="C54" s="140">
        <f>'ルール＆合計'!$F$3</f>
        <v>0.02</v>
      </c>
      <c r="D54" s="139" t="e">
        <f t="shared" si="1"/>
        <v>#VALUE!</v>
      </c>
      <c r="N54" s="138">
        <f t="shared" si="8"/>
      </c>
      <c r="O54" s="149">
        <f t="shared" si="9"/>
      </c>
      <c r="P54" s="138">
        <f t="shared" si="10"/>
      </c>
      <c r="V54" s="137">
        <f t="shared" si="5"/>
      </c>
      <c r="W54" s="172">
        <f t="shared" si="6"/>
      </c>
      <c r="X54" s="138">
        <f t="shared" si="2"/>
      </c>
      <c r="Y54" s="148">
        <f t="shared" si="7"/>
      </c>
      <c r="Z54" s="138">
        <f t="shared" si="3"/>
      </c>
    </row>
    <row r="55" spans="1:26" ht="13.5" customHeight="1">
      <c r="A55" s="138">
        <f t="shared" si="0"/>
      </c>
      <c r="B55" s="138">
        <f t="shared" si="4"/>
      </c>
      <c r="C55" s="140">
        <f>'ルール＆合計'!$F$3</f>
        <v>0.02</v>
      </c>
      <c r="D55" s="139" t="e">
        <f t="shared" si="1"/>
        <v>#VALUE!</v>
      </c>
      <c r="N55" s="138">
        <f t="shared" si="8"/>
      </c>
      <c r="O55" s="149">
        <f t="shared" si="9"/>
      </c>
      <c r="P55" s="138">
        <f t="shared" si="10"/>
      </c>
      <c r="V55" s="137">
        <f t="shared" si="5"/>
      </c>
      <c r="W55" s="172">
        <f t="shared" si="6"/>
      </c>
      <c r="X55" s="138">
        <f t="shared" si="2"/>
      </c>
      <c r="Y55" s="148">
        <f t="shared" si="7"/>
      </c>
      <c r="Z55" s="138">
        <f t="shared" si="3"/>
      </c>
    </row>
    <row r="56" spans="1:26" ht="13.5" customHeight="1">
      <c r="A56" s="138">
        <f t="shared" si="0"/>
      </c>
      <c r="B56" s="138">
        <f t="shared" si="4"/>
      </c>
      <c r="C56" s="140">
        <f>'ルール＆合計'!$F$3</f>
        <v>0.02</v>
      </c>
      <c r="D56" s="139" t="e">
        <f t="shared" si="1"/>
        <v>#VALUE!</v>
      </c>
      <c r="N56" s="138">
        <f t="shared" si="8"/>
      </c>
      <c r="O56" s="149">
        <f t="shared" si="9"/>
      </c>
      <c r="P56" s="138">
        <f t="shared" si="10"/>
      </c>
      <c r="V56" s="137">
        <f t="shared" si="5"/>
      </c>
      <c r="W56" s="172">
        <f t="shared" si="6"/>
      </c>
      <c r="X56" s="138">
        <f t="shared" si="2"/>
      </c>
      <c r="Y56" s="148">
        <f t="shared" si="7"/>
      </c>
      <c r="Z56" s="138">
        <f t="shared" si="3"/>
      </c>
    </row>
    <row r="57" spans="1:26" ht="13.5" customHeight="1">
      <c r="A57" s="138">
        <f t="shared" si="0"/>
      </c>
      <c r="B57" s="138">
        <f t="shared" si="4"/>
      </c>
      <c r="C57" s="140">
        <f>'ルール＆合計'!$F$3</f>
        <v>0.02</v>
      </c>
      <c r="D57" s="139" t="e">
        <f t="shared" si="1"/>
        <v>#VALUE!</v>
      </c>
      <c r="N57" s="138">
        <f t="shared" si="8"/>
      </c>
      <c r="O57" s="149">
        <f t="shared" si="9"/>
      </c>
      <c r="P57" s="138">
        <f t="shared" si="10"/>
      </c>
      <c r="V57" s="137">
        <f t="shared" si="5"/>
      </c>
      <c r="W57" s="172">
        <f t="shared" si="6"/>
      </c>
      <c r="X57" s="138">
        <f t="shared" si="2"/>
      </c>
      <c r="Y57" s="148">
        <f t="shared" si="7"/>
      </c>
      <c r="Z57" s="138">
        <f t="shared" si="3"/>
      </c>
    </row>
    <row r="58" spans="1:26" ht="13.5" customHeight="1">
      <c r="A58" s="138">
        <f t="shared" si="0"/>
      </c>
      <c r="B58" s="138">
        <f t="shared" si="4"/>
      </c>
      <c r="C58" s="140">
        <f>'ルール＆合計'!$F$3</f>
        <v>0.02</v>
      </c>
      <c r="D58" s="139" t="e">
        <f t="shared" si="1"/>
        <v>#VALUE!</v>
      </c>
      <c r="N58" s="138">
        <f t="shared" si="8"/>
      </c>
      <c r="O58" s="149">
        <f t="shared" si="9"/>
      </c>
      <c r="P58" s="138">
        <f t="shared" si="10"/>
      </c>
      <c r="V58" s="137">
        <f t="shared" si="5"/>
      </c>
      <c r="W58" s="172">
        <f t="shared" si="6"/>
      </c>
      <c r="X58" s="138">
        <f t="shared" si="2"/>
      </c>
      <c r="Y58" s="148">
        <f t="shared" si="7"/>
      </c>
      <c r="Z58" s="138">
        <f t="shared" si="3"/>
      </c>
    </row>
    <row r="59" spans="1:26" ht="13.5" customHeight="1">
      <c r="A59" s="138">
        <f t="shared" si="0"/>
      </c>
      <c r="B59" s="138">
        <f t="shared" si="4"/>
      </c>
      <c r="C59" s="140">
        <f>'ルール＆合計'!$F$3</f>
        <v>0.02</v>
      </c>
      <c r="D59" s="139" t="e">
        <f t="shared" si="1"/>
        <v>#VALUE!</v>
      </c>
      <c r="N59" s="138">
        <f t="shared" si="8"/>
      </c>
      <c r="O59" s="149">
        <f t="shared" si="9"/>
      </c>
      <c r="P59" s="138">
        <f t="shared" si="10"/>
      </c>
      <c r="V59" s="137">
        <f t="shared" si="5"/>
      </c>
      <c r="W59" s="172">
        <f t="shared" si="6"/>
      </c>
      <c r="X59" s="138">
        <f t="shared" si="2"/>
      </c>
      <c r="Y59" s="148">
        <f t="shared" si="7"/>
      </c>
      <c r="Z59" s="138">
        <f t="shared" si="3"/>
      </c>
    </row>
    <row r="60" spans="1:26" ht="13.5" customHeight="1">
      <c r="A60" s="138">
        <f t="shared" si="0"/>
      </c>
      <c r="B60" s="138">
        <f t="shared" si="4"/>
      </c>
      <c r="C60" s="140">
        <f>'ルール＆合計'!$F$3</f>
        <v>0.02</v>
      </c>
      <c r="D60" s="139" t="e">
        <f t="shared" si="1"/>
        <v>#VALUE!</v>
      </c>
      <c r="N60" s="138">
        <f t="shared" si="8"/>
      </c>
      <c r="P60" s="138">
        <f t="shared" si="10"/>
      </c>
      <c r="V60" s="137">
        <f t="shared" si="5"/>
      </c>
      <c r="W60" s="172">
        <f t="shared" si="6"/>
      </c>
      <c r="X60" s="138">
        <f t="shared" si="2"/>
      </c>
      <c r="Y60" s="148">
        <f t="shared" si="7"/>
      </c>
      <c r="Z60" s="138">
        <f t="shared" si="3"/>
      </c>
    </row>
    <row r="61" spans="1:26" ht="13.5" customHeight="1">
      <c r="A61" s="138">
        <f t="shared" si="0"/>
      </c>
      <c r="B61" s="138">
        <f t="shared" si="4"/>
      </c>
      <c r="C61" s="140">
        <f>'ルール＆合計'!$F$3</f>
        <v>0.02</v>
      </c>
      <c r="D61" s="139" t="e">
        <f t="shared" si="1"/>
        <v>#VALUE!</v>
      </c>
      <c r="N61" s="138">
        <f t="shared" si="8"/>
      </c>
      <c r="P61" s="138">
        <f t="shared" si="10"/>
      </c>
      <c r="V61" s="137">
        <f t="shared" si="5"/>
      </c>
      <c r="W61" s="172">
        <f t="shared" si="6"/>
      </c>
      <c r="X61" s="138">
        <f t="shared" si="2"/>
      </c>
      <c r="Y61" s="148">
        <f t="shared" si="7"/>
      </c>
      <c r="Z61" s="138">
        <f t="shared" si="3"/>
      </c>
    </row>
    <row r="62" spans="1:26" ht="13.5" customHeight="1">
      <c r="A62" s="138">
        <f t="shared" si="0"/>
      </c>
      <c r="B62" s="138">
        <f t="shared" si="4"/>
      </c>
      <c r="C62" s="140">
        <f>'ルール＆合計'!$F$3</f>
        <v>0.02</v>
      </c>
      <c r="D62" s="139" t="e">
        <f t="shared" si="1"/>
        <v>#VALUE!</v>
      </c>
      <c r="N62" s="138">
        <f t="shared" si="8"/>
      </c>
      <c r="P62" s="138">
        <f t="shared" si="10"/>
      </c>
      <c r="V62" s="137">
        <f t="shared" si="5"/>
      </c>
      <c r="W62" s="172">
        <f t="shared" si="6"/>
      </c>
      <c r="X62" s="138">
        <f t="shared" si="2"/>
      </c>
      <c r="Y62" s="148">
        <f t="shared" si="7"/>
      </c>
      <c r="Z62" s="138">
        <f t="shared" si="3"/>
      </c>
    </row>
    <row r="63" spans="1:26" ht="13.5" customHeight="1">
      <c r="A63" s="138">
        <f t="shared" si="0"/>
      </c>
      <c r="B63" s="138">
        <f t="shared" si="4"/>
      </c>
      <c r="C63" s="140">
        <f>'ルール＆合計'!$F$3</f>
        <v>0.02</v>
      </c>
      <c r="D63" s="139" t="e">
        <f t="shared" si="1"/>
        <v>#VALUE!</v>
      </c>
      <c r="N63" s="138">
        <f t="shared" si="8"/>
      </c>
      <c r="P63" s="138">
        <f t="shared" si="10"/>
      </c>
      <c r="V63" s="137">
        <f t="shared" si="5"/>
      </c>
      <c r="W63" s="172">
        <f t="shared" si="6"/>
      </c>
      <c r="X63" s="138">
        <f t="shared" si="2"/>
      </c>
      <c r="Y63" s="148">
        <f t="shared" si="7"/>
      </c>
      <c r="Z63" s="138">
        <f t="shared" si="3"/>
      </c>
    </row>
    <row r="64" spans="1:26" ht="13.5" customHeight="1">
      <c r="A64" s="138">
        <f t="shared" si="0"/>
      </c>
      <c r="B64" s="138">
        <f t="shared" si="4"/>
      </c>
      <c r="C64" s="140">
        <f>'ルール＆合計'!$F$3</f>
        <v>0.02</v>
      </c>
      <c r="D64" s="139" t="e">
        <f t="shared" si="1"/>
        <v>#VALUE!</v>
      </c>
      <c r="N64" s="138">
        <f t="shared" si="8"/>
      </c>
      <c r="P64" s="138">
        <f t="shared" si="10"/>
      </c>
      <c r="V64" s="137">
        <f t="shared" si="5"/>
      </c>
      <c r="W64" s="172">
        <f t="shared" si="6"/>
      </c>
      <c r="X64" s="138">
        <f t="shared" si="2"/>
      </c>
      <c r="Y64" s="148">
        <f t="shared" si="7"/>
      </c>
      <c r="Z64" s="138">
        <f t="shared" si="3"/>
      </c>
    </row>
    <row r="65" spans="1:26" ht="13.5" customHeight="1">
      <c r="A65" s="138">
        <f t="shared" si="0"/>
      </c>
      <c r="B65" s="138">
        <f t="shared" si="4"/>
      </c>
      <c r="C65" s="140">
        <f>'ルール＆合計'!$F$3</f>
        <v>0.02</v>
      </c>
      <c r="D65" s="139" t="e">
        <f t="shared" si="1"/>
        <v>#VALUE!</v>
      </c>
      <c r="N65" s="138">
        <f t="shared" si="8"/>
      </c>
      <c r="P65" s="138">
        <f t="shared" si="10"/>
      </c>
      <c r="V65" s="137">
        <f t="shared" si="5"/>
      </c>
      <c r="W65" s="172">
        <f t="shared" si="6"/>
      </c>
      <c r="X65" s="138">
        <f t="shared" si="2"/>
      </c>
      <c r="Y65" s="148">
        <f t="shared" si="7"/>
      </c>
      <c r="Z65" s="138">
        <f t="shared" si="3"/>
      </c>
    </row>
    <row r="66" spans="1:26" ht="13.5" customHeight="1">
      <c r="A66" s="138">
        <f t="shared" si="0"/>
      </c>
      <c r="B66" s="138">
        <f t="shared" si="4"/>
      </c>
      <c r="C66" s="140">
        <f>'ルール＆合計'!$F$3</f>
        <v>0.02</v>
      </c>
      <c r="D66" s="139" t="e">
        <f t="shared" si="1"/>
        <v>#VALUE!</v>
      </c>
      <c r="N66" s="138">
        <f t="shared" si="8"/>
      </c>
      <c r="P66" s="138">
        <f t="shared" si="10"/>
      </c>
      <c r="V66" s="137">
        <f t="shared" si="5"/>
      </c>
      <c r="W66" s="172">
        <f t="shared" si="6"/>
      </c>
      <c r="X66" s="138">
        <f t="shared" si="2"/>
      </c>
      <c r="Y66" s="148">
        <f t="shared" si="7"/>
      </c>
      <c r="Z66" s="138">
        <f t="shared" si="3"/>
      </c>
    </row>
    <row r="67" spans="1:26" ht="13.5" customHeight="1">
      <c r="A67" s="138">
        <f t="shared" si="0"/>
      </c>
      <c r="B67" s="138">
        <f t="shared" si="4"/>
      </c>
      <c r="C67" s="140">
        <f>'ルール＆合計'!$F$3</f>
        <v>0.02</v>
      </c>
      <c r="D67" s="139" t="e">
        <f t="shared" si="1"/>
        <v>#VALUE!</v>
      </c>
      <c r="N67" s="138">
        <f t="shared" si="8"/>
      </c>
      <c r="P67" s="138">
        <f t="shared" si="10"/>
      </c>
      <c r="V67" s="137">
        <f t="shared" si="5"/>
      </c>
      <c r="W67" s="172">
        <f t="shared" si="6"/>
      </c>
      <c r="X67" s="138">
        <f t="shared" si="2"/>
      </c>
      <c r="Y67" s="148">
        <f t="shared" si="7"/>
      </c>
      <c r="Z67" s="138">
        <f t="shared" si="3"/>
      </c>
    </row>
    <row r="68" spans="1:26" ht="13.5" customHeight="1">
      <c r="A68" s="138">
        <f t="shared" si="0"/>
      </c>
      <c r="B68" s="138">
        <f t="shared" si="4"/>
      </c>
      <c r="C68" s="140">
        <f>'ルール＆合計'!$F$3</f>
        <v>0.02</v>
      </c>
      <c r="D68" s="139" t="e">
        <f t="shared" si="1"/>
        <v>#VALUE!</v>
      </c>
      <c r="N68" s="138">
        <f t="shared" si="8"/>
      </c>
      <c r="P68" s="138">
        <f t="shared" si="10"/>
      </c>
      <c r="V68" s="137">
        <f t="shared" si="5"/>
      </c>
      <c r="W68" s="172">
        <f t="shared" si="6"/>
      </c>
      <c r="X68" s="138">
        <f t="shared" si="2"/>
      </c>
      <c r="Y68" s="148">
        <f t="shared" si="7"/>
      </c>
      <c r="Z68" s="138">
        <f t="shared" si="3"/>
      </c>
    </row>
    <row r="69" spans="1:26" ht="13.5" customHeight="1">
      <c r="A69" s="138">
        <f t="shared" si="0"/>
      </c>
      <c r="B69" s="138">
        <f t="shared" si="4"/>
      </c>
      <c r="C69" s="140">
        <f>'ルール＆合計'!$F$3</f>
        <v>0.02</v>
      </c>
      <c r="D69" s="139" t="e">
        <f t="shared" si="1"/>
        <v>#VALUE!</v>
      </c>
      <c r="N69" s="138">
        <f t="shared" si="8"/>
      </c>
      <c r="P69" s="138">
        <f t="shared" si="10"/>
      </c>
      <c r="V69" s="137">
        <f t="shared" si="5"/>
      </c>
      <c r="W69" s="172">
        <f t="shared" si="6"/>
      </c>
      <c r="X69" s="138">
        <f t="shared" si="2"/>
      </c>
      <c r="Y69" s="148">
        <f t="shared" si="7"/>
      </c>
      <c r="Z69" s="138">
        <f t="shared" si="3"/>
      </c>
    </row>
    <row r="70" spans="1:26" ht="13.5" customHeight="1">
      <c r="A70" s="138">
        <f aca="true" t="shared" si="11" ref="A70:A114">IF($F70&lt;&gt;"",ROW()-4,"")</f>
      </c>
      <c r="B70" s="138">
        <f t="shared" si="4"/>
      </c>
      <c r="C70" s="140">
        <f>'ルール＆合計'!$F$3</f>
        <v>0.02</v>
      </c>
      <c r="D70" s="139" t="e">
        <f aca="true" t="shared" si="12" ref="D70:D114">B70*C70</f>
        <v>#VALUE!</v>
      </c>
      <c r="N70" s="138">
        <f t="shared" si="8"/>
      </c>
      <c r="P70" s="138">
        <f aca="true" t="shared" si="13" ref="P70:P114">IF(O70&lt;&gt;"",ROUNDDOWN(B70*C70/N70/J70,2),"")</f>
      </c>
      <c r="V70" s="137">
        <f t="shared" si="5"/>
      </c>
      <c r="W70" s="172">
        <f t="shared" si="6"/>
      </c>
      <c r="X70" s="138">
        <f aca="true" t="shared" si="14" ref="X70:X114">IF(V70&lt;&gt;"",ABS(IF(V70="勝ち",W70/IF(RIGHT(F70,3)="JPY",0.01,0.0001),0)),"")</f>
      </c>
      <c r="Y70" s="148">
        <f aca="true" t="shared" si="15" ref="Y70:Y114">IF(V70&lt;&gt;"",IF(V70="負け",W70/IF(RIGHT(F70,3)="JPY",0.01,0.0001),0),"")</f>
      </c>
      <c r="Z70" s="138">
        <f aca="true" t="shared" si="16" ref="Z70:Z114">IF(V70&lt;&gt;"",ROUNDUP(IF(V70="勝ち",IF(W70&gt;0,W70*E70,ABS(W70*E70)),IF(V70="負け",IF(W70&gt;0,(W70*E70)*-1,W70*E70))),0)*Q70,"")</f>
      </c>
    </row>
    <row r="71" spans="1:26" ht="13.5" customHeight="1">
      <c r="A71" s="138">
        <f t="shared" si="11"/>
      </c>
      <c r="B71" s="138">
        <f aca="true" t="shared" si="17" ref="B71:B114">IF(H71&lt;&gt;"",B70+AA70,"")</f>
      </c>
      <c r="C71" s="140">
        <f>'ルール＆合計'!$F$3</f>
        <v>0.02</v>
      </c>
      <c r="D71" s="139" t="e">
        <f t="shared" si="12"/>
        <v>#VALUE!</v>
      </c>
      <c r="N71" s="138">
        <f t="shared" si="8"/>
      </c>
      <c r="P71" s="138">
        <f t="shared" si="13"/>
      </c>
      <c r="V71" s="137">
        <f aca="true" t="shared" si="18" ref="V71:V114">IF(S71&lt;&gt;"",IF(H71="買",IF(W71&gt;0,"勝ち",IF(W71&gt;0,"-","負け")),IF(H71="売",IF(W71&lt;0,"負け",IF(W71=0,"-","勝ち")))),"")</f>
      </c>
      <c r="W71" s="172">
        <f aca="true" t="shared" si="19" ref="W71:W114">IF(T71&lt;&gt;"",IF(LEFT(H71,1)="買",T71-J71,IF(LEFT(H71,1)="売",J71-T71)),"")</f>
      </c>
      <c r="X71" s="138">
        <f t="shared" si="14"/>
      </c>
      <c r="Y71" s="148">
        <f t="shared" si="15"/>
      </c>
      <c r="Z71" s="138">
        <f t="shared" si="16"/>
      </c>
    </row>
    <row r="72" spans="1:26" ht="13.5" customHeight="1">
      <c r="A72" s="138">
        <f t="shared" si="11"/>
      </c>
      <c r="B72" s="138">
        <f t="shared" si="17"/>
      </c>
      <c r="C72" s="140">
        <f>'ルール＆合計'!$F$3</f>
        <v>0.02</v>
      </c>
      <c r="D72" s="139" t="e">
        <f t="shared" si="12"/>
        <v>#VALUE!</v>
      </c>
      <c r="N72" s="138">
        <f aca="true" t="shared" si="20" ref="N72:N114">IF(L72&lt;&gt;"",ABS(L72-J72)/IF(RIGHT(F72,3)="JPY",0.01,0.0001),"")</f>
      </c>
      <c r="P72" s="138">
        <f t="shared" si="13"/>
      </c>
      <c r="V72" s="137">
        <f t="shared" si="18"/>
      </c>
      <c r="W72" s="172">
        <f t="shared" si="19"/>
      </c>
      <c r="X72" s="138">
        <f t="shared" si="14"/>
      </c>
      <c r="Y72" s="148">
        <f t="shared" si="15"/>
      </c>
      <c r="Z72" s="138">
        <f t="shared" si="16"/>
      </c>
    </row>
    <row r="73" spans="1:26" ht="13.5" customHeight="1">
      <c r="A73" s="138">
        <f t="shared" si="11"/>
      </c>
      <c r="B73" s="138">
        <f t="shared" si="17"/>
      </c>
      <c r="C73" s="140">
        <f>'ルール＆合計'!$F$3</f>
        <v>0.02</v>
      </c>
      <c r="D73" s="139" t="e">
        <f t="shared" si="12"/>
        <v>#VALUE!</v>
      </c>
      <c r="N73" s="138">
        <f t="shared" si="20"/>
      </c>
      <c r="P73" s="138">
        <f t="shared" si="13"/>
      </c>
      <c r="V73" s="137">
        <f t="shared" si="18"/>
      </c>
      <c r="W73" s="172">
        <f t="shared" si="19"/>
      </c>
      <c r="X73" s="138">
        <f t="shared" si="14"/>
      </c>
      <c r="Y73" s="148">
        <f t="shared" si="15"/>
      </c>
      <c r="Z73" s="138">
        <f t="shared" si="16"/>
      </c>
    </row>
    <row r="74" spans="1:26" ht="13.5" customHeight="1">
      <c r="A74" s="138">
        <f t="shared" si="11"/>
      </c>
      <c r="B74" s="138">
        <f t="shared" si="17"/>
      </c>
      <c r="C74" s="140">
        <f>'ルール＆合計'!$F$3</f>
        <v>0.02</v>
      </c>
      <c r="D74" s="139" t="e">
        <f t="shared" si="12"/>
        <v>#VALUE!</v>
      </c>
      <c r="N74" s="138">
        <f t="shared" si="20"/>
      </c>
      <c r="P74" s="138">
        <f t="shared" si="13"/>
      </c>
      <c r="V74" s="137">
        <f t="shared" si="18"/>
      </c>
      <c r="W74" s="172">
        <f t="shared" si="19"/>
      </c>
      <c r="X74" s="138">
        <f t="shared" si="14"/>
      </c>
      <c r="Y74" s="148">
        <f t="shared" si="15"/>
      </c>
      <c r="Z74" s="138">
        <f t="shared" si="16"/>
      </c>
    </row>
    <row r="75" spans="1:26" ht="13.5" customHeight="1">
      <c r="A75" s="138">
        <f t="shared" si="11"/>
      </c>
      <c r="B75" s="138">
        <f t="shared" si="17"/>
      </c>
      <c r="C75" s="140">
        <f>'ルール＆合計'!$F$3</f>
        <v>0.02</v>
      </c>
      <c r="D75" s="139" t="e">
        <f t="shared" si="12"/>
        <v>#VALUE!</v>
      </c>
      <c r="N75" s="138">
        <f t="shared" si="20"/>
      </c>
      <c r="P75" s="138">
        <f t="shared" si="13"/>
      </c>
      <c r="V75" s="137">
        <f t="shared" si="18"/>
      </c>
      <c r="W75" s="172">
        <f t="shared" si="19"/>
      </c>
      <c r="X75" s="138">
        <f t="shared" si="14"/>
      </c>
      <c r="Y75" s="148">
        <f t="shared" si="15"/>
      </c>
      <c r="Z75" s="138">
        <f t="shared" si="16"/>
      </c>
    </row>
    <row r="76" spans="1:26" ht="13.5" customHeight="1">
      <c r="A76" s="138">
        <f t="shared" si="11"/>
      </c>
      <c r="B76" s="138">
        <f t="shared" si="17"/>
      </c>
      <c r="C76" s="140">
        <f>'ルール＆合計'!$F$3</f>
        <v>0.02</v>
      </c>
      <c r="D76" s="139" t="e">
        <f t="shared" si="12"/>
        <v>#VALUE!</v>
      </c>
      <c r="N76" s="138">
        <f t="shared" si="20"/>
      </c>
      <c r="P76" s="138">
        <f t="shared" si="13"/>
      </c>
      <c r="V76" s="137">
        <f t="shared" si="18"/>
      </c>
      <c r="W76" s="172">
        <f t="shared" si="19"/>
      </c>
      <c r="X76" s="138">
        <f t="shared" si="14"/>
      </c>
      <c r="Y76" s="148">
        <f t="shared" si="15"/>
      </c>
      <c r="Z76" s="138">
        <f t="shared" si="16"/>
      </c>
    </row>
    <row r="77" spans="1:26" ht="13.5" customHeight="1">
      <c r="A77" s="138">
        <f t="shared" si="11"/>
      </c>
      <c r="B77" s="138">
        <f t="shared" si="17"/>
      </c>
      <c r="C77" s="140">
        <f>'ルール＆合計'!$F$3</f>
        <v>0.02</v>
      </c>
      <c r="D77" s="139" t="e">
        <f t="shared" si="12"/>
        <v>#VALUE!</v>
      </c>
      <c r="N77" s="138">
        <f t="shared" si="20"/>
      </c>
      <c r="P77" s="138">
        <f t="shared" si="13"/>
      </c>
      <c r="V77" s="137">
        <f t="shared" si="18"/>
      </c>
      <c r="W77" s="172">
        <f t="shared" si="19"/>
      </c>
      <c r="X77" s="138">
        <f t="shared" si="14"/>
      </c>
      <c r="Y77" s="148">
        <f t="shared" si="15"/>
      </c>
      <c r="Z77" s="138">
        <f t="shared" si="16"/>
      </c>
    </row>
    <row r="78" spans="1:26" ht="13.5" customHeight="1">
      <c r="A78" s="138">
        <f t="shared" si="11"/>
      </c>
      <c r="B78" s="138">
        <f t="shared" si="17"/>
      </c>
      <c r="C78" s="140">
        <f>'ルール＆合計'!$F$3</f>
        <v>0.02</v>
      </c>
      <c r="D78" s="139" t="e">
        <f t="shared" si="12"/>
        <v>#VALUE!</v>
      </c>
      <c r="N78" s="138">
        <f t="shared" si="20"/>
      </c>
      <c r="P78" s="138">
        <f t="shared" si="13"/>
      </c>
      <c r="V78" s="137">
        <f t="shared" si="18"/>
      </c>
      <c r="W78" s="172">
        <f t="shared" si="19"/>
      </c>
      <c r="X78" s="138">
        <f t="shared" si="14"/>
      </c>
      <c r="Y78" s="148">
        <f t="shared" si="15"/>
      </c>
      <c r="Z78" s="138">
        <f t="shared" si="16"/>
      </c>
    </row>
    <row r="79" spans="1:26" ht="13.5" customHeight="1">
      <c r="A79" s="138">
        <f t="shared" si="11"/>
      </c>
      <c r="B79" s="138">
        <f t="shared" si="17"/>
      </c>
      <c r="C79" s="140">
        <f>'ルール＆合計'!$F$3</f>
        <v>0.02</v>
      </c>
      <c r="D79" s="139" t="e">
        <f t="shared" si="12"/>
        <v>#VALUE!</v>
      </c>
      <c r="N79" s="138">
        <f t="shared" si="20"/>
      </c>
      <c r="P79" s="138">
        <f t="shared" si="13"/>
      </c>
      <c r="V79" s="137">
        <f t="shared" si="18"/>
      </c>
      <c r="W79" s="172">
        <f t="shared" si="19"/>
      </c>
      <c r="X79" s="138">
        <f t="shared" si="14"/>
      </c>
      <c r="Y79" s="148">
        <f t="shared" si="15"/>
      </c>
      <c r="Z79" s="138">
        <f t="shared" si="16"/>
      </c>
    </row>
    <row r="80" spans="1:26" ht="13.5" customHeight="1">
      <c r="A80" s="138">
        <f t="shared" si="11"/>
      </c>
      <c r="B80" s="138">
        <f t="shared" si="17"/>
      </c>
      <c r="C80" s="140">
        <f>'ルール＆合計'!$F$3</f>
        <v>0.02</v>
      </c>
      <c r="D80" s="139" t="e">
        <f t="shared" si="12"/>
        <v>#VALUE!</v>
      </c>
      <c r="N80" s="138">
        <f t="shared" si="20"/>
      </c>
      <c r="P80" s="138">
        <f t="shared" si="13"/>
      </c>
      <c r="V80" s="137">
        <f t="shared" si="18"/>
      </c>
      <c r="W80" s="172">
        <f t="shared" si="19"/>
      </c>
      <c r="X80" s="138">
        <f t="shared" si="14"/>
      </c>
      <c r="Y80" s="148">
        <f t="shared" si="15"/>
      </c>
      <c r="Z80" s="138">
        <f t="shared" si="16"/>
      </c>
    </row>
    <row r="81" spans="1:26" ht="13.5" customHeight="1">
      <c r="A81" s="138">
        <f t="shared" si="11"/>
      </c>
      <c r="B81" s="138">
        <f t="shared" si="17"/>
      </c>
      <c r="C81" s="140">
        <f>'ルール＆合計'!$F$3</f>
        <v>0.02</v>
      </c>
      <c r="D81" s="139" t="e">
        <f t="shared" si="12"/>
        <v>#VALUE!</v>
      </c>
      <c r="N81" s="138">
        <f t="shared" si="20"/>
      </c>
      <c r="P81" s="138">
        <f t="shared" si="13"/>
      </c>
      <c r="V81" s="137">
        <f t="shared" si="18"/>
      </c>
      <c r="W81" s="172">
        <f t="shared" si="19"/>
      </c>
      <c r="X81" s="138">
        <f t="shared" si="14"/>
      </c>
      <c r="Y81" s="148">
        <f t="shared" si="15"/>
      </c>
      <c r="Z81" s="138">
        <f t="shared" si="16"/>
      </c>
    </row>
    <row r="82" spans="1:26" ht="13.5" customHeight="1">
      <c r="A82" s="138">
        <f t="shared" si="11"/>
      </c>
      <c r="B82" s="138">
        <f t="shared" si="17"/>
      </c>
      <c r="C82" s="140">
        <f>'ルール＆合計'!$F$3</f>
        <v>0.02</v>
      </c>
      <c r="D82" s="139" t="e">
        <f t="shared" si="12"/>
        <v>#VALUE!</v>
      </c>
      <c r="N82" s="138">
        <f t="shared" si="20"/>
      </c>
      <c r="P82" s="138">
        <f t="shared" si="13"/>
      </c>
      <c r="V82" s="137">
        <f t="shared" si="18"/>
      </c>
      <c r="W82" s="172">
        <f t="shared" si="19"/>
      </c>
      <c r="X82" s="138">
        <f t="shared" si="14"/>
      </c>
      <c r="Y82" s="148">
        <f t="shared" si="15"/>
      </c>
      <c r="Z82" s="138">
        <f t="shared" si="16"/>
      </c>
    </row>
    <row r="83" spans="1:26" ht="13.5" customHeight="1">
      <c r="A83" s="138">
        <f t="shared" si="11"/>
      </c>
      <c r="B83" s="138">
        <f t="shared" si="17"/>
      </c>
      <c r="C83" s="140">
        <f>'ルール＆合計'!$F$3</f>
        <v>0.02</v>
      </c>
      <c r="D83" s="139" t="e">
        <f t="shared" si="12"/>
        <v>#VALUE!</v>
      </c>
      <c r="N83" s="138">
        <f t="shared" si="20"/>
      </c>
      <c r="P83" s="138">
        <f t="shared" si="13"/>
      </c>
      <c r="V83" s="137">
        <f t="shared" si="18"/>
      </c>
      <c r="W83" s="172">
        <f t="shared" si="19"/>
      </c>
      <c r="X83" s="138">
        <f t="shared" si="14"/>
      </c>
      <c r="Y83" s="148">
        <f t="shared" si="15"/>
      </c>
      <c r="Z83" s="138">
        <f t="shared" si="16"/>
      </c>
    </row>
    <row r="84" spans="1:26" ht="13.5" customHeight="1">
      <c r="A84" s="138">
        <f t="shared" si="11"/>
      </c>
      <c r="B84" s="138">
        <f t="shared" si="17"/>
      </c>
      <c r="C84" s="140">
        <f>'ルール＆合計'!$F$3</f>
        <v>0.02</v>
      </c>
      <c r="D84" s="139" t="e">
        <f t="shared" si="12"/>
        <v>#VALUE!</v>
      </c>
      <c r="N84" s="138">
        <f t="shared" si="20"/>
      </c>
      <c r="P84" s="138">
        <f t="shared" si="13"/>
      </c>
      <c r="V84" s="137">
        <f t="shared" si="18"/>
      </c>
      <c r="W84" s="172">
        <f t="shared" si="19"/>
      </c>
      <c r="X84" s="138">
        <f t="shared" si="14"/>
      </c>
      <c r="Y84" s="148">
        <f t="shared" si="15"/>
      </c>
      <c r="Z84" s="138">
        <f t="shared" si="16"/>
      </c>
    </row>
    <row r="85" spans="1:26" ht="13.5" customHeight="1">
      <c r="A85" s="138">
        <f t="shared" si="11"/>
      </c>
      <c r="B85" s="138">
        <f t="shared" si="17"/>
      </c>
      <c r="C85" s="140">
        <f>'ルール＆合計'!$F$3</f>
        <v>0.02</v>
      </c>
      <c r="D85" s="139" t="e">
        <f t="shared" si="12"/>
        <v>#VALUE!</v>
      </c>
      <c r="N85" s="138">
        <f t="shared" si="20"/>
      </c>
      <c r="P85" s="138">
        <f t="shared" si="13"/>
      </c>
      <c r="V85" s="137">
        <f t="shared" si="18"/>
      </c>
      <c r="W85" s="172">
        <f t="shared" si="19"/>
      </c>
      <c r="X85" s="138">
        <f t="shared" si="14"/>
      </c>
      <c r="Y85" s="148">
        <f t="shared" si="15"/>
      </c>
      <c r="Z85" s="138">
        <f t="shared" si="16"/>
      </c>
    </row>
    <row r="86" spans="1:26" ht="13.5" customHeight="1">
      <c r="A86" s="138">
        <f t="shared" si="11"/>
      </c>
      <c r="B86" s="138">
        <f t="shared" si="17"/>
      </c>
      <c r="C86" s="140">
        <f>'ルール＆合計'!$F$3</f>
        <v>0.02</v>
      </c>
      <c r="D86" s="139" t="e">
        <f t="shared" si="12"/>
        <v>#VALUE!</v>
      </c>
      <c r="N86" s="138">
        <f t="shared" si="20"/>
      </c>
      <c r="P86" s="138">
        <f t="shared" si="13"/>
      </c>
      <c r="V86" s="137">
        <f t="shared" si="18"/>
      </c>
      <c r="W86" s="172">
        <f t="shared" si="19"/>
      </c>
      <c r="X86" s="138">
        <f t="shared" si="14"/>
      </c>
      <c r="Y86" s="148">
        <f t="shared" si="15"/>
      </c>
      <c r="Z86" s="138">
        <f t="shared" si="16"/>
      </c>
    </row>
    <row r="87" spans="1:26" ht="13.5" customHeight="1">
      <c r="A87" s="138">
        <f t="shared" si="11"/>
      </c>
      <c r="B87" s="138">
        <f t="shared" si="17"/>
      </c>
      <c r="C87" s="140">
        <f>'ルール＆合計'!$F$3</f>
        <v>0.02</v>
      </c>
      <c r="D87" s="139" t="e">
        <f t="shared" si="12"/>
        <v>#VALUE!</v>
      </c>
      <c r="N87" s="138">
        <f t="shared" si="20"/>
      </c>
      <c r="P87" s="138">
        <f t="shared" si="13"/>
      </c>
      <c r="V87" s="137">
        <f t="shared" si="18"/>
      </c>
      <c r="W87" s="172">
        <f t="shared" si="19"/>
      </c>
      <c r="X87" s="138">
        <f t="shared" si="14"/>
      </c>
      <c r="Y87" s="148">
        <f t="shared" si="15"/>
      </c>
      <c r="Z87" s="138">
        <f t="shared" si="16"/>
      </c>
    </row>
    <row r="88" spans="1:26" ht="13.5" customHeight="1">
      <c r="A88" s="138">
        <f t="shared" si="11"/>
      </c>
      <c r="B88" s="138">
        <f t="shared" si="17"/>
      </c>
      <c r="C88" s="140">
        <f>'ルール＆合計'!$F$3</f>
        <v>0.02</v>
      </c>
      <c r="D88" s="139" t="e">
        <f t="shared" si="12"/>
        <v>#VALUE!</v>
      </c>
      <c r="N88" s="138">
        <f t="shared" si="20"/>
      </c>
      <c r="P88" s="138">
        <f t="shared" si="13"/>
      </c>
      <c r="V88" s="137">
        <f t="shared" si="18"/>
      </c>
      <c r="W88" s="172">
        <f t="shared" si="19"/>
      </c>
      <c r="X88" s="138">
        <f t="shared" si="14"/>
      </c>
      <c r="Y88" s="148">
        <f t="shared" si="15"/>
      </c>
      <c r="Z88" s="138">
        <f t="shared" si="16"/>
      </c>
    </row>
    <row r="89" spans="1:26" ht="13.5" customHeight="1">
      <c r="A89" s="138">
        <f t="shared" si="11"/>
      </c>
      <c r="B89" s="138">
        <f t="shared" si="17"/>
      </c>
      <c r="C89" s="140">
        <f>'ルール＆合計'!$F$3</f>
        <v>0.02</v>
      </c>
      <c r="D89" s="139" t="e">
        <f t="shared" si="12"/>
        <v>#VALUE!</v>
      </c>
      <c r="N89" s="138">
        <f t="shared" si="20"/>
      </c>
      <c r="P89" s="138">
        <f t="shared" si="13"/>
      </c>
      <c r="V89" s="137">
        <f t="shared" si="18"/>
      </c>
      <c r="W89" s="172">
        <f t="shared" si="19"/>
      </c>
      <c r="X89" s="138">
        <f t="shared" si="14"/>
      </c>
      <c r="Y89" s="148">
        <f t="shared" si="15"/>
      </c>
      <c r="Z89" s="138">
        <f t="shared" si="16"/>
      </c>
    </row>
    <row r="90" spans="1:26" ht="13.5" customHeight="1">
      <c r="A90" s="138">
        <f t="shared" si="11"/>
      </c>
      <c r="B90" s="138">
        <f t="shared" si="17"/>
      </c>
      <c r="C90" s="140">
        <f>'ルール＆合計'!$F$3</f>
        <v>0.02</v>
      </c>
      <c r="D90" s="139" t="e">
        <f t="shared" si="12"/>
        <v>#VALUE!</v>
      </c>
      <c r="N90" s="138">
        <f t="shared" si="20"/>
      </c>
      <c r="P90" s="138">
        <f t="shared" si="13"/>
      </c>
      <c r="V90" s="137">
        <f t="shared" si="18"/>
      </c>
      <c r="W90" s="172">
        <f t="shared" si="19"/>
      </c>
      <c r="X90" s="138">
        <f t="shared" si="14"/>
      </c>
      <c r="Y90" s="148">
        <f t="shared" si="15"/>
      </c>
      <c r="Z90" s="138">
        <f t="shared" si="16"/>
      </c>
    </row>
    <row r="91" spans="1:26" ht="13.5" customHeight="1">
      <c r="A91" s="138">
        <f t="shared" si="11"/>
      </c>
      <c r="B91" s="138">
        <f t="shared" si="17"/>
      </c>
      <c r="C91" s="140">
        <f>'ルール＆合計'!$F$3</f>
        <v>0.02</v>
      </c>
      <c r="D91" s="139" t="e">
        <f t="shared" si="12"/>
        <v>#VALUE!</v>
      </c>
      <c r="N91" s="138">
        <f t="shared" si="20"/>
      </c>
      <c r="P91" s="138">
        <f t="shared" si="13"/>
      </c>
      <c r="V91" s="137">
        <f t="shared" si="18"/>
      </c>
      <c r="W91" s="172">
        <f t="shared" si="19"/>
      </c>
      <c r="X91" s="138">
        <f t="shared" si="14"/>
      </c>
      <c r="Y91" s="148">
        <f t="shared" si="15"/>
      </c>
      <c r="Z91" s="138">
        <f t="shared" si="16"/>
      </c>
    </row>
    <row r="92" spans="1:26" ht="13.5" customHeight="1">
      <c r="A92" s="138">
        <f t="shared" si="11"/>
      </c>
      <c r="B92" s="138">
        <f t="shared" si="17"/>
      </c>
      <c r="C92" s="140">
        <f>'ルール＆合計'!$F$3</f>
        <v>0.02</v>
      </c>
      <c r="D92" s="139" t="e">
        <f t="shared" si="12"/>
        <v>#VALUE!</v>
      </c>
      <c r="N92" s="138">
        <f t="shared" si="20"/>
      </c>
      <c r="P92" s="138">
        <f t="shared" si="13"/>
      </c>
      <c r="V92" s="137">
        <f t="shared" si="18"/>
      </c>
      <c r="W92" s="172">
        <f t="shared" si="19"/>
      </c>
      <c r="X92" s="138">
        <f t="shared" si="14"/>
      </c>
      <c r="Y92" s="148">
        <f t="shared" si="15"/>
      </c>
      <c r="Z92" s="138">
        <f t="shared" si="16"/>
      </c>
    </row>
    <row r="93" spans="1:26" ht="13.5" customHeight="1">
      <c r="A93" s="138">
        <f t="shared" si="11"/>
      </c>
      <c r="B93" s="138">
        <f t="shared" si="17"/>
      </c>
      <c r="C93" s="140">
        <f>'ルール＆合計'!$F$3</f>
        <v>0.02</v>
      </c>
      <c r="D93" s="139" t="e">
        <f t="shared" si="12"/>
        <v>#VALUE!</v>
      </c>
      <c r="N93" s="138">
        <f t="shared" si="20"/>
      </c>
      <c r="P93" s="138">
        <f t="shared" si="13"/>
      </c>
      <c r="V93" s="137">
        <f t="shared" si="18"/>
      </c>
      <c r="W93" s="172">
        <f t="shared" si="19"/>
      </c>
      <c r="X93" s="138">
        <f t="shared" si="14"/>
      </c>
      <c r="Y93" s="148">
        <f t="shared" si="15"/>
      </c>
      <c r="Z93" s="138">
        <f t="shared" si="16"/>
      </c>
    </row>
    <row r="94" spans="1:26" ht="13.5" customHeight="1">
      <c r="A94" s="138">
        <f t="shared" si="11"/>
      </c>
      <c r="B94" s="138">
        <f t="shared" si="17"/>
      </c>
      <c r="C94" s="140">
        <f>'ルール＆合計'!$F$3</f>
        <v>0.02</v>
      </c>
      <c r="D94" s="139" t="e">
        <f t="shared" si="12"/>
        <v>#VALUE!</v>
      </c>
      <c r="N94" s="138">
        <f t="shared" si="20"/>
      </c>
      <c r="P94" s="138">
        <f t="shared" si="13"/>
      </c>
      <c r="V94" s="137">
        <f t="shared" si="18"/>
      </c>
      <c r="W94" s="172">
        <f t="shared" si="19"/>
      </c>
      <c r="X94" s="138">
        <f t="shared" si="14"/>
      </c>
      <c r="Y94" s="148">
        <f t="shared" si="15"/>
      </c>
      <c r="Z94" s="138">
        <f t="shared" si="16"/>
      </c>
    </row>
    <row r="95" spans="1:26" ht="13.5" customHeight="1">
      <c r="A95" s="138">
        <f t="shared" si="11"/>
      </c>
      <c r="B95" s="138">
        <f t="shared" si="17"/>
      </c>
      <c r="C95" s="140">
        <f>'ルール＆合計'!$F$3</f>
        <v>0.02</v>
      </c>
      <c r="D95" s="139" t="e">
        <f t="shared" si="12"/>
        <v>#VALUE!</v>
      </c>
      <c r="N95" s="138">
        <f t="shared" si="20"/>
      </c>
      <c r="P95" s="138">
        <f t="shared" si="13"/>
      </c>
      <c r="V95" s="137">
        <f t="shared" si="18"/>
      </c>
      <c r="W95" s="172">
        <f t="shared" si="19"/>
      </c>
      <c r="X95" s="138">
        <f t="shared" si="14"/>
      </c>
      <c r="Y95" s="148">
        <f t="shared" si="15"/>
      </c>
      <c r="Z95" s="138">
        <f t="shared" si="16"/>
      </c>
    </row>
    <row r="96" spans="1:26" ht="13.5" customHeight="1">
      <c r="A96" s="138">
        <f t="shared" si="11"/>
      </c>
      <c r="B96" s="138">
        <f t="shared" si="17"/>
      </c>
      <c r="C96" s="140">
        <f>'ルール＆合計'!$F$3</f>
        <v>0.02</v>
      </c>
      <c r="D96" s="139" t="e">
        <f t="shared" si="12"/>
        <v>#VALUE!</v>
      </c>
      <c r="N96" s="138">
        <f t="shared" si="20"/>
      </c>
      <c r="P96" s="138">
        <f t="shared" si="13"/>
      </c>
      <c r="V96" s="137">
        <f t="shared" si="18"/>
      </c>
      <c r="W96" s="172">
        <f t="shared" si="19"/>
      </c>
      <c r="X96" s="138">
        <f t="shared" si="14"/>
      </c>
      <c r="Y96" s="148">
        <f t="shared" si="15"/>
      </c>
      <c r="Z96" s="138">
        <f t="shared" si="16"/>
      </c>
    </row>
    <row r="97" spans="1:26" ht="13.5" customHeight="1">
      <c r="A97" s="138">
        <f t="shared" si="11"/>
      </c>
      <c r="B97" s="138">
        <f t="shared" si="17"/>
      </c>
      <c r="C97" s="140">
        <f>'ルール＆合計'!$F$3</f>
        <v>0.02</v>
      </c>
      <c r="D97" s="139" t="e">
        <f t="shared" si="12"/>
        <v>#VALUE!</v>
      </c>
      <c r="N97" s="138">
        <f t="shared" si="20"/>
      </c>
      <c r="P97" s="138">
        <f t="shared" si="13"/>
      </c>
      <c r="V97" s="137">
        <f t="shared" si="18"/>
      </c>
      <c r="W97" s="172">
        <f t="shared" si="19"/>
      </c>
      <c r="X97" s="138">
        <f t="shared" si="14"/>
      </c>
      <c r="Y97" s="148">
        <f t="shared" si="15"/>
      </c>
      <c r="Z97" s="138">
        <f t="shared" si="16"/>
      </c>
    </row>
    <row r="98" spans="1:26" ht="13.5" customHeight="1">
      <c r="A98" s="138">
        <f t="shared" si="11"/>
      </c>
      <c r="B98" s="138">
        <f t="shared" si="17"/>
      </c>
      <c r="C98" s="140">
        <f>'ルール＆合計'!$F$3</f>
        <v>0.02</v>
      </c>
      <c r="D98" s="139" t="e">
        <f t="shared" si="12"/>
        <v>#VALUE!</v>
      </c>
      <c r="N98" s="138">
        <f t="shared" si="20"/>
      </c>
      <c r="P98" s="138">
        <f t="shared" si="13"/>
      </c>
      <c r="V98" s="137">
        <f t="shared" si="18"/>
      </c>
      <c r="W98" s="172">
        <f t="shared" si="19"/>
      </c>
      <c r="X98" s="138">
        <f t="shared" si="14"/>
      </c>
      <c r="Y98" s="148">
        <f t="shared" si="15"/>
      </c>
      <c r="Z98" s="138">
        <f t="shared" si="16"/>
      </c>
    </row>
    <row r="99" spans="1:26" ht="13.5" customHeight="1">
      <c r="A99" s="138">
        <f t="shared" si="11"/>
      </c>
      <c r="B99" s="138">
        <f t="shared" si="17"/>
      </c>
      <c r="C99" s="140">
        <f>'ルール＆合計'!$F$3</f>
        <v>0.02</v>
      </c>
      <c r="D99" s="139" t="e">
        <f t="shared" si="12"/>
        <v>#VALUE!</v>
      </c>
      <c r="N99" s="138">
        <f t="shared" si="20"/>
      </c>
      <c r="P99" s="138">
        <f t="shared" si="13"/>
      </c>
      <c r="V99" s="137">
        <f t="shared" si="18"/>
      </c>
      <c r="W99" s="172">
        <f t="shared" si="19"/>
      </c>
      <c r="X99" s="138">
        <f t="shared" si="14"/>
      </c>
      <c r="Y99" s="148">
        <f t="shared" si="15"/>
      </c>
      <c r="Z99" s="138">
        <f t="shared" si="16"/>
      </c>
    </row>
    <row r="100" spans="1:26" ht="13.5" customHeight="1">
      <c r="A100" s="138">
        <f t="shared" si="11"/>
      </c>
      <c r="B100" s="138">
        <f t="shared" si="17"/>
      </c>
      <c r="C100" s="140">
        <f>'ルール＆合計'!$F$3</f>
        <v>0.02</v>
      </c>
      <c r="D100" s="139" t="e">
        <f t="shared" si="12"/>
        <v>#VALUE!</v>
      </c>
      <c r="N100" s="138">
        <f t="shared" si="20"/>
      </c>
      <c r="P100" s="138">
        <f t="shared" si="13"/>
      </c>
      <c r="V100" s="137">
        <f t="shared" si="18"/>
      </c>
      <c r="W100" s="172">
        <f t="shared" si="19"/>
      </c>
      <c r="X100" s="138">
        <f t="shared" si="14"/>
      </c>
      <c r="Y100" s="148">
        <f t="shared" si="15"/>
      </c>
      <c r="Z100" s="138">
        <f t="shared" si="16"/>
      </c>
    </row>
    <row r="101" spans="1:26" ht="13.5" customHeight="1">
      <c r="A101" s="138">
        <f t="shared" si="11"/>
      </c>
      <c r="B101" s="138">
        <f t="shared" si="17"/>
      </c>
      <c r="C101" s="140">
        <f>'ルール＆合計'!$F$3</f>
        <v>0.02</v>
      </c>
      <c r="D101" s="139" t="e">
        <f t="shared" si="12"/>
        <v>#VALUE!</v>
      </c>
      <c r="N101" s="138">
        <f t="shared" si="20"/>
      </c>
      <c r="P101" s="138">
        <f t="shared" si="13"/>
      </c>
      <c r="V101" s="137">
        <f t="shared" si="18"/>
      </c>
      <c r="W101" s="172">
        <f t="shared" si="19"/>
      </c>
      <c r="X101" s="138">
        <f t="shared" si="14"/>
      </c>
      <c r="Y101" s="148">
        <f t="shared" si="15"/>
      </c>
      <c r="Z101" s="138">
        <f t="shared" si="16"/>
      </c>
    </row>
    <row r="102" spans="1:26" ht="13.5" customHeight="1">
      <c r="A102" s="138">
        <f t="shared" si="11"/>
      </c>
      <c r="B102" s="138">
        <f t="shared" si="17"/>
      </c>
      <c r="C102" s="140">
        <f>'ルール＆合計'!$F$3</f>
        <v>0.02</v>
      </c>
      <c r="D102" s="139" t="e">
        <f t="shared" si="12"/>
        <v>#VALUE!</v>
      </c>
      <c r="N102" s="138">
        <f t="shared" si="20"/>
      </c>
      <c r="P102" s="138">
        <f t="shared" si="13"/>
      </c>
      <c r="V102" s="137">
        <f t="shared" si="18"/>
      </c>
      <c r="W102" s="172">
        <f t="shared" si="19"/>
      </c>
      <c r="X102" s="138">
        <f t="shared" si="14"/>
      </c>
      <c r="Y102" s="148">
        <f t="shared" si="15"/>
      </c>
      <c r="Z102" s="138">
        <f t="shared" si="16"/>
      </c>
    </row>
    <row r="103" spans="1:26" ht="13.5" customHeight="1">
      <c r="A103" s="138">
        <f t="shared" si="11"/>
      </c>
      <c r="B103" s="138">
        <f t="shared" si="17"/>
      </c>
      <c r="C103" s="140">
        <f>'ルール＆合計'!$F$3</f>
        <v>0.02</v>
      </c>
      <c r="D103" s="139" t="e">
        <f t="shared" si="12"/>
        <v>#VALUE!</v>
      </c>
      <c r="N103" s="138">
        <f t="shared" si="20"/>
      </c>
      <c r="P103" s="138">
        <f t="shared" si="13"/>
      </c>
      <c r="V103" s="137">
        <f t="shared" si="18"/>
      </c>
      <c r="W103" s="172">
        <f t="shared" si="19"/>
      </c>
      <c r="X103" s="138">
        <f t="shared" si="14"/>
      </c>
      <c r="Y103" s="148">
        <f t="shared" si="15"/>
      </c>
      <c r="Z103" s="138">
        <f t="shared" si="16"/>
      </c>
    </row>
    <row r="104" spans="1:26" ht="13.5" customHeight="1">
      <c r="A104" s="138">
        <f t="shared" si="11"/>
      </c>
      <c r="B104" s="138">
        <f t="shared" si="17"/>
      </c>
      <c r="C104" s="140">
        <f>'ルール＆合計'!$F$3</f>
        <v>0.02</v>
      </c>
      <c r="D104" s="139" t="e">
        <f t="shared" si="12"/>
        <v>#VALUE!</v>
      </c>
      <c r="N104" s="138">
        <f t="shared" si="20"/>
      </c>
      <c r="P104" s="138">
        <f t="shared" si="13"/>
      </c>
      <c r="V104" s="137">
        <f t="shared" si="18"/>
      </c>
      <c r="W104" s="172">
        <f t="shared" si="19"/>
      </c>
      <c r="X104" s="138">
        <f t="shared" si="14"/>
      </c>
      <c r="Y104" s="148">
        <f t="shared" si="15"/>
      </c>
      <c r="Z104" s="138">
        <f t="shared" si="16"/>
      </c>
    </row>
    <row r="105" spans="1:26" ht="13.5" customHeight="1">
      <c r="A105" s="138">
        <f t="shared" si="11"/>
      </c>
      <c r="B105" s="138">
        <f t="shared" si="17"/>
      </c>
      <c r="C105" s="140">
        <f>'ルール＆合計'!$F$3</f>
        <v>0.02</v>
      </c>
      <c r="D105" s="139" t="e">
        <f t="shared" si="12"/>
        <v>#VALUE!</v>
      </c>
      <c r="N105" s="138">
        <f t="shared" si="20"/>
      </c>
      <c r="P105" s="138">
        <f t="shared" si="13"/>
      </c>
      <c r="V105" s="137">
        <f t="shared" si="18"/>
      </c>
      <c r="W105" s="172">
        <f t="shared" si="19"/>
      </c>
      <c r="X105" s="138">
        <f t="shared" si="14"/>
      </c>
      <c r="Y105" s="148">
        <f t="shared" si="15"/>
      </c>
      <c r="Z105" s="138">
        <f t="shared" si="16"/>
      </c>
    </row>
    <row r="106" spans="1:26" ht="13.5" customHeight="1">
      <c r="A106" s="138">
        <f t="shared" si="11"/>
      </c>
      <c r="B106" s="138">
        <f t="shared" si="17"/>
      </c>
      <c r="C106" s="140">
        <f>'ルール＆合計'!$F$3</f>
        <v>0.02</v>
      </c>
      <c r="D106" s="139" t="e">
        <f t="shared" si="12"/>
        <v>#VALUE!</v>
      </c>
      <c r="N106" s="138">
        <f t="shared" si="20"/>
      </c>
      <c r="P106" s="138">
        <f t="shared" si="13"/>
      </c>
      <c r="V106" s="137">
        <f t="shared" si="18"/>
      </c>
      <c r="W106" s="172">
        <f t="shared" si="19"/>
      </c>
      <c r="X106" s="138">
        <f t="shared" si="14"/>
      </c>
      <c r="Y106" s="148">
        <f t="shared" si="15"/>
      </c>
      <c r="Z106" s="138">
        <f t="shared" si="16"/>
      </c>
    </row>
    <row r="107" spans="1:26" ht="13.5" customHeight="1">
      <c r="A107" s="138">
        <f t="shared" si="11"/>
      </c>
      <c r="B107" s="138">
        <f t="shared" si="17"/>
      </c>
      <c r="C107" s="140">
        <f>'ルール＆合計'!$F$3</f>
        <v>0.02</v>
      </c>
      <c r="D107" s="139" t="e">
        <f t="shared" si="12"/>
        <v>#VALUE!</v>
      </c>
      <c r="N107" s="138">
        <f t="shared" si="20"/>
      </c>
      <c r="P107" s="138">
        <f t="shared" si="13"/>
      </c>
      <c r="V107" s="137">
        <f t="shared" si="18"/>
      </c>
      <c r="W107" s="172">
        <f t="shared" si="19"/>
      </c>
      <c r="X107" s="138">
        <f t="shared" si="14"/>
      </c>
      <c r="Y107" s="148">
        <f t="shared" si="15"/>
      </c>
      <c r="Z107" s="138">
        <f t="shared" si="16"/>
      </c>
    </row>
    <row r="108" spans="1:26" ht="13.5" customHeight="1">
      <c r="A108" s="138">
        <f t="shared" si="11"/>
      </c>
      <c r="B108" s="138">
        <f t="shared" si="17"/>
      </c>
      <c r="C108" s="140">
        <f>'ルール＆合計'!$F$3</f>
        <v>0.02</v>
      </c>
      <c r="D108" s="139" t="e">
        <f t="shared" si="12"/>
        <v>#VALUE!</v>
      </c>
      <c r="N108" s="138">
        <f t="shared" si="20"/>
      </c>
      <c r="P108" s="138">
        <f t="shared" si="13"/>
      </c>
      <c r="V108" s="137">
        <f t="shared" si="18"/>
      </c>
      <c r="W108" s="172">
        <f t="shared" si="19"/>
      </c>
      <c r="X108" s="138">
        <f t="shared" si="14"/>
      </c>
      <c r="Y108" s="148">
        <f t="shared" si="15"/>
      </c>
      <c r="Z108" s="138">
        <f t="shared" si="16"/>
      </c>
    </row>
    <row r="109" spans="1:26" ht="13.5" customHeight="1">
      <c r="A109" s="138">
        <f t="shared" si="11"/>
      </c>
      <c r="B109" s="138">
        <f t="shared" si="17"/>
      </c>
      <c r="C109" s="140">
        <f>'ルール＆合計'!$F$3</f>
        <v>0.02</v>
      </c>
      <c r="D109" s="139" t="e">
        <f t="shared" si="12"/>
        <v>#VALUE!</v>
      </c>
      <c r="N109" s="138">
        <f t="shared" si="20"/>
      </c>
      <c r="P109" s="138">
        <f t="shared" si="13"/>
      </c>
      <c r="V109" s="137">
        <f t="shared" si="18"/>
      </c>
      <c r="W109" s="172">
        <f t="shared" si="19"/>
      </c>
      <c r="X109" s="138">
        <f t="shared" si="14"/>
      </c>
      <c r="Y109" s="148">
        <f t="shared" si="15"/>
      </c>
      <c r="Z109" s="138">
        <f t="shared" si="16"/>
      </c>
    </row>
    <row r="110" spans="1:26" ht="13.5" customHeight="1">
      <c r="A110" s="138">
        <f t="shared" si="11"/>
      </c>
      <c r="B110" s="138">
        <f t="shared" si="17"/>
      </c>
      <c r="C110" s="140">
        <f>'ルール＆合計'!$F$3</f>
        <v>0.02</v>
      </c>
      <c r="D110" s="139" t="e">
        <f t="shared" si="12"/>
        <v>#VALUE!</v>
      </c>
      <c r="N110" s="138">
        <f t="shared" si="20"/>
      </c>
      <c r="P110" s="138">
        <f t="shared" si="13"/>
      </c>
      <c r="V110" s="137">
        <f t="shared" si="18"/>
      </c>
      <c r="W110" s="172">
        <f t="shared" si="19"/>
      </c>
      <c r="X110" s="138">
        <f t="shared" si="14"/>
      </c>
      <c r="Y110" s="148">
        <f t="shared" si="15"/>
      </c>
      <c r="Z110" s="138">
        <f t="shared" si="16"/>
      </c>
    </row>
    <row r="111" spans="1:26" ht="13.5" customHeight="1">
      <c r="A111" s="138">
        <f t="shared" si="11"/>
      </c>
      <c r="B111" s="138">
        <f t="shared" si="17"/>
      </c>
      <c r="C111" s="140">
        <f>'ルール＆合計'!$F$3</f>
        <v>0.02</v>
      </c>
      <c r="D111" s="139" t="e">
        <f t="shared" si="12"/>
        <v>#VALUE!</v>
      </c>
      <c r="N111" s="138">
        <f t="shared" si="20"/>
      </c>
      <c r="P111" s="138">
        <f t="shared" si="13"/>
      </c>
      <c r="V111" s="137">
        <f t="shared" si="18"/>
      </c>
      <c r="W111" s="172">
        <f t="shared" si="19"/>
      </c>
      <c r="X111" s="138">
        <f t="shared" si="14"/>
      </c>
      <c r="Y111" s="148">
        <f t="shared" si="15"/>
      </c>
      <c r="Z111" s="138">
        <f t="shared" si="16"/>
      </c>
    </row>
    <row r="112" spans="1:26" ht="13.5" customHeight="1">
      <c r="A112" s="138">
        <f t="shared" si="11"/>
      </c>
      <c r="B112" s="138">
        <f t="shared" si="17"/>
      </c>
      <c r="C112" s="140">
        <f>'ルール＆合計'!$F$3</f>
        <v>0.02</v>
      </c>
      <c r="D112" s="139" t="e">
        <f t="shared" si="12"/>
        <v>#VALUE!</v>
      </c>
      <c r="N112" s="138">
        <f t="shared" si="20"/>
      </c>
      <c r="P112" s="138">
        <f t="shared" si="13"/>
      </c>
      <c r="V112" s="137">
        <f t="shared" si="18"/>
      </c>
      <c r="W112" s="172">
        <f t="shared" si="19"/>
      </c>
      <c r="X112" s="138">
        <f t="shared" si="14"/>
      </c>
      <c r="Y112" s="148">
        <f t="shared" si="15"/>
      </c>
      <c r="Z112" s="138">
        <f t="shared" si="16"/>
      </c>
    </row>
    <row r="113" spans="1:26" ht="13.5" customHeight="1">
      <c r="A113" s="138">
        <f t="shared" si="11"/>
      </c>
      <c r="B113" s="138">
        <f t="shared" si="17"/>
      </c>
      <c r="C113" s="140">
        <f>'ルール＆合計'!$F$3</f>
        <v>0.02</v>
      </c>
      <c r="D113" s="139" t="e">
        <f t="shared" si="12"/>
        <v>#VALUE!</v>
      </c>
      <c r="N113" s="138">
        <f t="shared" si="20"/>
      </c>
      <c r="P113" s="138">
        <f t="shared" si="13"/>
      </c>
      <c r="V113" s="137">
        <f t="shared" si="18"/>
      </c>
      <c r="W113" s="172">
        <f t="shared" si="19"/>
      </c>
      <c r="X113" s="138">
        <f t="shared" si="14"/>
      </c>
      <c r="Y113" s="148">
        <f t="shared" si="15"/>
      </c>
      <c r="Z113" s="138">
        <f t="shared" si="16"/>
      </c>
    </row>
    <row r="114" spans="1:26" ht="13.5" customHeight="1">
      <c r="A114" s="138">
        <f t="shared" si="11"/>
      </c>
      <c r="B114" s="138">
        <f t="shared" si="17"/>
      </c>
      <c r="C114" s="140">
        <f>'ルール＆合計'!$F$3</f>
        <v>0.02</v>
      </c>
      <c r="D114" s="139" t="e">
        <f t="shared" si="12"/>
        <v>#VALUE!</v>
      </c>
      <c r="N114" s="138">
        <f t="shared" si="20"/>
      </c>
      <c r="P114" s="138">
        <f t="shared" si="13"/>
      </c>
      <c r="V114" s="137">
        <f t="shared" si="18"/>
      </c>
      <c r="W114" s="172">
        <f t="shared" si="19"/>
      </c>
      <c r="X114" s="138">
        <f t="shared" si="14"/>
      </c>
      <c r="Y114" s="148">
        <f t="shared" si="15"/>
      </c>
      <c r="Z114" s="138">
        <f t="shared" si="16"/>
      </c>
    </row>
  </sheetData>
  <sheetProtection/>
  <autoFilter ref="A4:AB114"/>
  <mergeCells count="3">
    <mergeCell ref="R3:U3"/>
    <mergeCell ref="G3:Q3"/>
    <mergeCell ref="A3:F3"/>
  </mergeCells>
  <printOptions/>
  <pageMargins left="0.6986111111111111" right="0.6986111111111111" top="0.75" bottom="0.75" header="0.3" footer="0.3"/>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4"/>
  <dimension ref="A1:A2"/>
  <sheetViews>
    <sheetView zoomScale="90" zoomScaleNormal="90" zoomScaleSheetLayoutView="100" zoomScalePageLayoutView="0" workbookViewId="0" topLeftCell="A1">
      <selection activeCell="A2" sqref="A2"/>
    </sheetView>
  </sheetViews>
  <sheetFormatPr defaultColWidth="8.875" defaultRowHeight="13.5"/>
  <cols>
    <col min="1" max="1" width="8.875" style="147" customWidth="1"/>
  </cols>
  <sheetData>
    <row r="1" s="128" customFormat="1" ht="13.5">
      <c r="A1" s="150"/>
    </row>
    <row r="2" ht="13.5">
      <c r="A2" s="147" t="s">
        <v>185</v>
      </c>
    </row>
  </sheetData>
  <sheetProtection/>
  <printOptions/>
  <pageMargins left="0.75" right="0.75" top="1" bottom="1" header="0.5111111111111111" footer="0.5111111111111111"/>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sheetPr codeName="Sheet5"/>
  <dimension ref="A1:P160"/>
  <sheetViews>
    <sheetView zoomScalePageLayoutView="0" workbookViewId="0" topLeftCell="A158">
      <selection activeCell="A191" sqref="A191"/>
    </sheetView>
  </sheetViews>
  <sheetFormatPr defaultColWidth="9.00390625" defaultRowHeight="13.5"/>
  <sheetData>
    <row r="1" spans="1:4" ht="13.5">
      <c r="A1" t="s">
        <v>186</v>
      </c>
      <c r="D1" s="136" t="s">
        <v>134</v>
      </c>
    </row>
    <row r="22" ht="13.5">
      <c r="A22" t="s">
        <v>188</v>
      </c>
    </row>
    <row r="100" ht="13.5">
      <c r="A100" t="s">
        <v>189</v>
      </c>
    </row>
    <row r="133" ht="13.5">
      <c r="A133" t="s">
        <v>190</v>
      </c>
    </row>
    <row r="142" ht="13.5">
      <c r="P142" t="s">
        <v>193</v>
      </c>
    </row>
    <row r="143" ht="13.5">
      <c r="P143" t="s">
        <v>194</v>
      </c>
    </row>
    <row r="144" ht="13.5">
      <c r="P144" t="s">
        <v>195</v>
      </c>
    </row>
    <row r="160" ht="13.5">
      <c r="A160" t="s">
        <v>192</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A1:I106"/>
  <sheetViews>
    <sheetView zoomScaleSheetLayoutView="100" zoomScalePageLayoutView="0" workbookViewId="0" topLeftCell="A64">
      <selection activeCell="A79" sqref="A79"/>
    </sheetView>
  </sheetViews>
  <sheetFormatPr defaultColWidth="8.875" defaultRowHeight="13.5"/>
  <sheetData>
    <row r="1" spans="1:9" ht="13.5">
      <c r="A1" s="120" t="s">
        <v>53</v>
      </c>
      <c r="B1" s="121"/>
      <c r="C1" s="121"/>
      <c r="D1" s="121"/>
      <c r="E1" s="121"/>
      <c r="F1" s="121"/>
      <c r="G1" s="121"/>
      <c r="H1" s="121"/>
      <c r="I1" s="124"/>
    </row>
    <row r="2" spans="1:9" ht="13.5">
      <c r="A2" s="122" t="s">
        <v>54</v>
      </c>
      <c r="B2" s="123"/>
      <c r="C2" s="123"/>
      <c r="D2" s="123"/>
      <c r="E2" s="123"/>
      <c r="F2" s="123"/>
      <c r="G2" s="123"/>
      <c r="H2" s="123"/>
      <c r="I2" s="124"/>
    </row>
    <row r="3" ht="13.5">
      <c r="D3" s="119"/>
    </row>
    <row r="4" ht="13.5">
      <c r="A4" s="126"/>
    </row>
    <row r="5" spans="1:2" ht="13.5">
      <c r="A5" t="s">
        <v>55</v>
      </c>
      <c r="B5" s="136" t="s">
        <v>207</v>
      </c>
    </row>
    <row r="6" spans="1:2" ht="13.5">
      <c r="A6" s="193" t="s">
        <v>326</v>
      </c>
      <c r="B6" s="136" t="s">
        <v>198</v>
      </c>
    </row>
    <row r="7" ht="13.5">
      <c r="B7" t="s">
        <v>197</v>
      </c>
    </row>
    <row r="8" ht="13.5">
      <c r="B8" s="136"/>
    </row>
    <row r="9" ht="13.5">
      <c r="B9" s="136" t="s">
        <v>199</v>
      </c>
    </row>
    <row r="10" ht="13.5">
      <c r="B10" s="136" t="s">
        <v>200</v>
      </c>
    </row>
    <row r="11" ht="13.5">
      <c r="B11" s="136" t="s">
        <v>201</v>
      </c>
    </row>
    <row r="12" ht="13.5">
      <c r="B12" s="136" t="s">
        <v>202</v>
      </c>
    </row>
    <row r="13" ht="13.5">
      <c r="B13" s="136" t="s">
        <v>214</v>
      </c>
    </row>
    <row r="15" ht="13.5">
      <c r="B15" t="s">
        <v>203</v>
      </c>
    </row>
    <row r="16" ht="13.5">
      <c r="B16" t="s">
        <v>204</v>
      </c>
    </row>
    <row r="17" ht="13.5">
      <c r="B17" t="s">
        <v>205</v>
      </c>
    </row>
    <row r="19" ht="13.5">
      <c r="B19" t="s">
        <v>206</v>
      </c>
    </row>
    <row r="20" ht="13.5">
      <c r="B20" t="s">
        <v>216</v>
      </c>
    </row>
    <row r="21" ht="13.5">
      <c r="B21" t="s">
        <v>215</v>
      </c>
    </row>
    <row r="23" ht="13.5">
      <c r="B23" s="136" t="s">
        <v>217</v>
      </c>
    </row>
    <row r="24" ht="13.5">
      <c r="B24" s="136" t="s">
        <v>218</v>
      </c>
    </row>
    <row r="25" ht="13.5">
      <c r="B25" s="136" t="s">
        <v>196</v>
      </c>
    </row>
    <row r="26" ht="13.5">
      <c r="B26" s="136" t="s">
        <v>219</v>
      </c>
    </row>
    <row r="28" ht="13.5">
      <c r="B28" s="136" t="s">
        <v>220</v>
      </c>
    </row>
    <row r="29" ht="13.5">
      <c r="B29" s="136" t="s">
        <v>208</v>
      </c>
    </row>
    <row r="30" ht="13.5">
      <c r="B30" s="136" t="s">
        <v>209</v>
      </c>
    </row>
    <row r="32" ht="13.5">
      <c r="B32" s="136" t="s">
        <v>210</v>
      </c>
    </row>
    <row r="33" ht="13.5">
      <c r="B33" s="136" t="s">
        <v>221</v>
      </c>
    </row>
    <row r="34" ht="13.5">
      <c r="B34" s="136" t="s">
        <v>226</v>
      </c>
    </row>
    <row r="36" ht="13.5">
      <c r="B36" t="s">
        <v>227</v>
      </c>
    </row>
    <row r="37" ht="13.5">
      <c r="B37" t="s">
        <v>211</v>
      </c>
    </row>
    <row r="38" spans="2:3" ht="13.5">
      <c r="B38" t="s">
        <v>212</v>
      </c>
      <c r="C38" t="s">
        <v>223</v>
      </c>
    </row>
    <row r="39" ht="13.5">
      <c r="B39" t="s">
        <v>213</v>
      </c>
    </row>
    <row r="40" ht="13.5">
      <c r="B40" t="s">
        <v>222</v>
      </c>
    </row>
    <row r="41" spans="2:3" ht="13.5">
      <c r="B41" t="s">
        <v>224</v>
      </c>
      <c r="C41" t="s">
        <v>225</v>
      </c>
    </row>
    <row r="43" ht="13.5">
      <c r="B43" t="s">
        <v>228</v>
      </c>
    </row>
    <row r="45" ht="13.5">
      <c r="B45" t="s">
        <v>229</v>
      </c>
    </row>
    <row r="46" ht="13.5">
      <c r="B46" t="s">
        <v>230</v>
      </c>
    </row>
    <row r="47" ht="13.5">
      <c r="B47" t="s">
        <v>231</v>
      </c>
    </row>
    <row r="48" ht="13.5">
      <c r="B48" t="s">
        <v>232</v>
      </c>
    </row>
    <row r="50" ht="13.5">
      <c r="B50" t="s">
        <v>238</v>
      </c>
    </row>
    <row r="51" ht="13.5">
      <c r="B51" t="s">
        <v>237</v>
      </c>
    </row>
    <row r="53" ht="13.5">
      <c r="B53" t="s">
        <v>233</v>
      </c>
    </row>
    <row r="54" ht="13.5">
      <c r="B54" t="s">
        <v>234</v>
      </c>
    </row>
    <row r="55" ht="13.5">
      <c r="B55" t="s">
        <v>235</v>
      </c>
    </row>
    <row r="56" ht="13.5">
      <c r="B56" t="s">
        <v>236</v>
      </c>
    </row>
    <row r="59" ht="13.5">
      <c r="B59" t="s">
        <v>239</v>
      </c>
    </row>
    <row r="60" ht="13.5">
      <c r="B60" t="s">
        <v>240</v>
      </c>
    </row>
    <row r="61" ht="13.5">
      <c r="B61" t="s">
        <v>241</v>
      </c>
    </row>
    <row r="64" ht="13.5">
      <c r="A64" t="s">
        <v>328</v>
      </c>
    </row>
    <row r="65" ht="13.5">
      <c r="B65" t="s">
        <v>329</v>
      </c>
    </row>
    <row r="66" ht="13.5">
      <c r="B66" t="s">
        <v>330</v>
      </c>
    </row>
    <row r="67" ht="13.5">
      <c r="B67" t="s">
        <v>331</v>
      </c>
    </row>
    <row r="68" ht="13.5">
      <c r="B68" t="s">
        <v>332</v>
      </c>
    </row>
    <row r="69" ht="13.5">
      <c r="B69" t="s">
        <v>333</v>
      </c>
    </row>
    <row r="70" ht="13.5">
      <c r="B70" t="s">
        <v>363</v>
      </c>
    </row>
    <row r="71" ht="13.5">
      <c r="B71" t="s">
        <v>334</v>
      </c>
    </row>
    <row r="72" ht="13.5">
      <c r="B72" t="s">
        <v>364</v>
      </c>
    </row>
    <row r="73" ht="13.5">
      <c r="B73" t="s">
        <v>335</v>
      </c>
    </row>
    <row r="74" ht="13.5">
      <c r="B74" t="s">
        <v>336</v>
      </c>
    </row>
    <row r="75" ht="13.5">
      <c r="B75" t="s">
        <v>337</v>
      </c>
    </row>
    <row r="76" ht="13.5">
      <c r="B76" t="s">
        <v>338</v>
      </c>
    </row>
    <row r="78" ht="13.5">
      <c r="A78" t="s">
        <v>327</v>
      </c>
    </row>
    <row r="79" ht="13.5">
      <c r="B79" t="s">
        <v>339</v>
      </c>
    </row>
    <row r="80" ht="13.5">
      <c r="B80" t="s">
        <v>340</v>
      </c>
    </row>
    <row r="81" ht="13.5">
      <c r="B81" t="s">
        <v>341</v>
      </c>
    </row>
    <row r="82" ht="13.5">
      <c r="B82" t="s">
        <v>342</v>
      </c>
    </row>
    <row r="83" ht="13.5">
      <c r="B83" t="s">
        <v>354</v>
      </c>
    </row>
    <row r="84" ht="13.5">
      <c r="B84" t="s">
        <v>358</v>
      </c>
    </row>
    <row r="86" ht="13.5">
      <c r="B86" t="s">
        <v>357</v>
      </c>
    </row>
    <row r="87" ht="13.5">
      <c r="B87" t="s">
        <v>343</v>
      </c>
    </row>
    <row r="88" ht="13.5">
      <c r="B88" t="s">
        <v>344</v>
      </c>
    </row>
    <row r="89" ht="13.5">
      <c r="B89" t="s">
        <v>345</v>
      </c>
    </row>
    <row r="90" ht="13.5">
      <c r="B90" t="s">
        <v>346</v>
      </c>
    </row>
    <row r="91" ht="13.5">
      <c r="B91" t="s">
        <v>347</v>
      </c>
    </row>
    <row r="92" ht="13.5">
      <c r="B92" t="s">
        <v>348</v>
      </c>
    </row>
    <row r="93" ht="13.5">
      <c r="B93" t="s">
        <v>356</v>
      </c>
    </row>
    <row r="95" ht="13.5">
      <c r="B95" t="s">
        <v>349</v>
      </c>
    </row>
    <row r="96" ht="13.5">
      <c r="B96" t="s">
        <v>350</v>
      </c>
    </row>
    <row r="97" ht="13.5">
      <c r="B97" t="s">
        <v>351</v>
      </c>
    </row>
    <row r="98" ht="13.5">
      <c r="B98" t="s">
        <v>355</v>
      </c>
    </row>
    <row r="100" ht="13.5">
      <c r="B100" t="s">
        <v>352</v>
      </c>
    </row>
    <row r="101" ht="13.5">
      <c r="B101" t="s">
        <v>353</v>
      </c>
    </row>
    <row r="102" ht="13.5">
      <c r="B102" t="s">
        <v>359</v>
      </c>
    </row>
    <row r="104" ht="13.5">
      <c r="B104" t="s">
        <v>360</v>
      </c>
    </row>
    <row r="105" ht="13.5">
      <c r="B105" t="s">
        <v>361</v>
      </c>
    </row>
    <row r="106" ht="13.5">
      <c r="B106" t="s">
        <v>362</v>
      </c>
    </row>
  </sheetData>
  <sheetProtection/>
  <printOptions/>
  <pageMargins left="0.75" right="0.75" top="1" bottom="1" header="0.5111111111111111" footer="0.5111111111111111"/>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codeName="Sheet7"/>
  <dimension ref="B4:F47"/>
  <sheetViews>
    <sheetView zoomScaleSheetLayoutView="100" zoomScalePageLayoutView="0" workbookViewId="0" topLeftCell="A1">
      <selection activeCell="A1" sqref="A1"/>
    </sheetView>
  </sheetViews>
  <sheetFormatPr defaultColWidth="8.875" defaultRowHeight="13.5"/>
  <sheetData>
    <row r="4" spans="2:6" ht="13.5">
      <c r="B4" t="s">
        <v>56</v>
      </c>
      <c r="C4" t="s">
        <v>57</v>
      </c>
      <c r="D4" t="s">
        <v>58</v>
      </c>
      <c r="E4" s="136" t="s">
        <v>242</v>
      </c>
      <c r="F4" s="136" t="s">
        <v>243</v>
      </c>
    </row>
    <row r="5" spans="3:5" ht="13.5">
      <c r="C5" t="s">
        <v>59</v>
      </c>
      <c r="D5" s="125" t="s">
        <v>66</v>
      </c>
      <c r="E5" s="125" t="s">
        <v>65</v>
      </c>
    </row>
    <row r="7" spans="2:6" ht="13.5">
      <c r="B7" t="s">
        <v>244</v>
      </c>
      <c r="C7" t="s">
        <v>245</v>
      </c>
      <c r="D7" t="s">
        <v>246</v>
      </c>
      <c r="E7" t="s">
        <v>247</v>
      </c>
      <c r="F7" t="s">
        <v>248</v>
      </c>
    </row>
    <row r="9" spans="2:5" ht="13.5">
      <c r="B9" t="s">
        <v>60</v>
      </c>
      <c r="D9" t="s">
        <v>57</v>
      </c>
      <c r="E9" s="125" t="s">
        <v>68</v>
      </c>
    </row>
    <row r="10" spans="4:5" ht="13.5">
      <c r="D10" t="s">
        <v>61</v>
      </c>
      <c r="E10" s="125" t="s">
        <v>68</v>
      </c>
    </row>
    <row r="13" spans="2:5" ht="13.5">
      <c r="B13" t="s">
        <v>62</v>
      </c>
      <c r="E13" t="s">
        <v>57</v>
      </c>
    </row>
    <row r="14" ht="13.5">
      <c r="E14" t="s">
        <v>63</v>
      </c>
    </row>
    <row r="18" ht="13.5">
      <c r="B18" s="143" t="s">
        <v>88</v>
      </c>
    </row>
    <row r="19" ht="13.5">
      <c r="B19" t="s">
        <v>83</v>
      </c>
    </row>
    <row r="20" ht="13.5">
      <c r="B20" s="144" t="s">
        <v>95</v>
      </c>
    </row>
    <row r="22" ht="13.5">
      <c r="B22" t="s">
        <v>84</v>
      </c>
    </row>
    <row r="23" ht="13.5">
      <c r="B23" s="144" t="s">
        <v>96</v>
      </c>
    </row>
    <row r="25" ht="13.5">
      <c r="B25" t="s">
        <v>85</v>
      </c>
    </row>
    <row r="26" ht="13.5">
      <c r="B26" t="s">
        <v>83</v>
      </c>
    </row>
    <row r="27" ht="13.5">
      <c r="B27" t="s">
        <v>86</v>
      </c>
    </row>
    <row r="29" ht="13.5">
      <c r="B29" t="s">
        <v>84</v>
      </c>
    </row>
    <row r="30" ht="13.5">
      <c r="B30" t="s">
        <v>87</v>
      </c>
    </row>
    <row r="33" ht="13.5">
      <c r="B33" s="143" t="s">
        <v>89</v>
      </c>
    </row>
    <row r="34" ht="13.5">
      <c r="B34" t="s">
        <v>83</v>
      </c>
    </row>
    <row r="35" ht="13.5">
      <c r="B35" t="s">
        <v>91</v>
      </c>
    </row>
    <row r="36" ht="13.5">
      <c r="B36" t="s">
        <v>90</v>
      </c>
    </row>
    <row r="38" ht="13.5">
      <c r="B38" t="s">
        <v>84</v>
      </c>
    </row>
    <row r="39" ht="13.5">
      <c r="B39" t="s">
        <v>91</v>
      </c>
    </row>
    <row r="40" ht="13.5">
      <c r="B40" t="s">
        <v>92</v>
      </c>
    </row>
    <row r="42" ht="13.5">
      <c r="B42" t="s">
        <v>85</v>
      </c>
    </row>
    <row r="43" ht="13.5">
      <c r="B43" t="s">
        <v>83</v>
      </c>
    </row>
    <row r="44" ht="13.5">
      <c r="B44" t="s">
        <v>93</v>
      </c>
    </row>
    <row r="46" ht="13.5">
      <c r="B46" t="s">
        <v>84</v>
      </c>
    </row>
    <row r="47" ht="13.5">
      <c r="B47" t="s">
        <v>94</v>
      </c>
    </row>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yoko</cp:lastModifiedBy>
  <cp:lastPrinted>1899-12-30T00:00:00Z</cp:lastPrinted>
  <dcterms:created xsi:type="dcterms:W3CDTF">2013-10-09T23:04:08Z</dcterms:created>
  <dcterms:modified xsi:type="dcterms:W3CDTF">2015-09-13T15:27:44Z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