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335" windowHeight="7245" tabRatio="731" activeTab="0"/>
  </bookViews>
  <sheets>
    <sheet name="ルール＆合計" sheetId="1" r:id="rId1"/>
    <sheet name="集計" sheetId="2" state="hidden" r:id="rId2"/>
    <sheet name="検証データ日足" sheetId="3" state="hidden" r:id="rId3"/>
    <sheet name="検証データ４H" sheetId="4" r:id="rId4"/>
    <sheet name="検証データ１H" sheetId="5" state="hidden" r:id="rId5"/>
    <sheet name="Sheet1" sheetId="6" r:id="rId6"/>
    <sheet name="画像" sheetId="7" r:id="rId7"/>
    <sheet name="気づき" sheetId="8" r:id="rId8"/>
    <sheet name="検証終了通貨" sheetId="9" r:id="rId9"/>
  </sheets>
  <definedNames>
    <definedName name="_xlfn.COUNTIFS" hidden="1">#NAME?</definedName>
    <definedName name="_xlfn.SUMIFS" hidden="1">#NAME?</definedName>
  </definedNames>
  <calcPr fullCalcOnLoad="1"/>
</workbook>
</file>

<file path=xl/comments3.xml><?xml version="1.0" encoding="utf-8"?>
<comments xmlns="http://schemas.openxmlformats.org/spreadsheetml/2006/main">
  <authors>
    <author>yoko</author>
  </authors>
  <commentList>
    <comment ref="O2" authorId="0">
      <text>
        <r>
          <rPr>
            <sz val="9"/>
            <rFont val="ＭＳ Ｐゴシック"/>
            <family val="3"/>
          </rPr>
          <t>ドルストレートかクロス円の場合は100もしくは、エントリー時のドル円レート
外貨同士の場合は通貨ペア右側のレート円（エントリー時）
例）
EUR/USD→ドル円レート
EUR/CAD→カナダ円レート</t>
        </r>
      </text>
    </comment>
    <comment ref="P2" authorId="0">
      <text>
        <r>
          <rPr>
            <sz val="9"/>
            <rFont val="ＭＳ Ｐゴシック"/>
            <family val="3"/>
          </rPr>
          <t>１。００＝十万通貨
０．１０＝一万通貨
０．０１＝千通貨</t>
        </r>
      </text>
    </comment>
    <comment ref="H2" authorId="0">
      <text>
        <r>
          <rPr>
            <b/>
            <sz val="9"/>
            <rFont val="ＭＳ Ｐゴシック"/>
            <family val="3"/>
          </rPr>
          <t>MA線から見た売り買い</t>
        </r>
      </text>
    </comment>
    <comment ref="K2" authorId="0">
      <text>
        <r>
          <rPr>
            <b/>
            <sz val="9"/>
            <rFont val="ＭＳ Ｐゴシック"/>
            <family val="3"/>
          </rPr>
          <t>MA線から見た売り買い（左キャンドル右キャンドル）</t>
        </r>
      </text>
    </comment>
  </commentList>
</comments>
</file>

<file path=xl/comments4.xml><?xml version="1.0" encoding="utf-8"?>
<comments xmlns="http://schemas.openxmlformats.org/spreadsheetml/2006/main">
  <authors>
    <author>yoko</author>
  </authors>
  <commentList>
    <comment ref="Q4" authorId="0">
      <text>
        <r>
          <rPr>
            <sz val="9"/>
            <rFont val="ＭＳ Ｐゴシック"/>
            <family val="3"/>
          </rPr>
          <t>ドルストレートかクロス円の場合は100もしくは、エントリー時のドル円レート
外貨同士の場合は通貨ペア右側のレート円（エントリー時）
例）
EUR/USD→ドル円レート
EUR/CAD→カナダ円レート</t>
        </r>
      </text>
    </comment>
  </commentList>
</comments>
</file>

<file path=xl/comments5.xml><?xml version="1.0" encoding="utf-8"?>
<comments xmlns="http://schemas.openxmlformats.org/spreadsheetml/2006/main">
  <authors>
    <author>yoko</author>
  </authors>
  <commentList>
    <comment ref="O2" authorId="0">
      <text>
        <r>
          <rPr>
            <sz val="9"/>
            <rFont val="ＭＳ Ｐゴシック"/>
            <family val="3"/>
          </rPr>
          <t>ドルストレートかクロス円の場合は100もしくは、エントリー時のドル円レート
外貨同士の場合は通貨ペア右側のレート円（エントリー時）
例）
EUR/USD→ドル円レート
EUR/CAD→カナダ円レート</t>
        </r>
      </text>
    </comment>
  </commentList>
</comments>
</file>

<file path=xl/sharedStrings.xml><?xml version="1.0" encoding="utf-8"?>
<sst xmlns="http://schemas.openxmlformats.org/spreadsheetml/2006/main" count="2195" uniqueCount="636">
  <si>
    <t>※入力</t>
  </si>
  <si>
    <t>初期資金</t>
  </si>
  <si>
    <t>スタート日</t>
  </si>
  <si>
    <t>現在資金</t>
  </si>
  <si>
    <t>損切り</t>
  </si>
  <si>
    <t>資金増減</t>
  </si>
  <si>
    <t>集計</t>
  </si>
  <si>
    <t>利益合計</t>
  </si>
  <si>
    <t>損失合計</t>
  </si>
  <si>
    <t>損益</t>
  </si>
  <si>
    <t>利益トレード
回数</t>
  </si>
  <si>
    <t>損失トレード
回数</t>
  </si>
  <si>
    <t>総トレード
回数</t>
  </si>
  <si>
    <t>勝率</t>
  </si>
  <si>
    <t>平均利益</t>
  </si>
  <si>
    <t>平均損失</t>
  </si>
  <si>
    <t>平均利益
/平均損失</t>
  </si>
  <si>
    <t>総利益
/総損失(PF)</t>
  </si>
  <si>
    <t>2014年　　合計</t>
  </si>
  <si>
    <t>※リスクリワードレシオ</t>
  </si>
  <si>
    <t>※プロフィットファクター</t>
  </si>
  <si>
    <t>通貨ペア</t>
  </si>
  <si>
    <t>売買</t>
  </si>
  <si>
    <t>時間足</t>
  </si>
  <si>
    <t>結果</t>
  </si>
  <si>
    <t>利益pips</t>
  </si>
  <si>
    <t>損失pips</t>
  </si>
  <si>
    <t>金額　</t>
  </si>
  <si>
    <t>合計</t>
  </si>
  <si>
    <t>トレード詳細データ</t>
  </si>
  <si>
    <t>通貨ペア別エントリー回数</t>
  </si>
  <si>
    <t>Buy</t>
  </si>
  <si>
    <t>Sell</t>
  </si>
  <si>
    <t>トレード期間</t>
  </si>
  <si>
    <t>買いエントリー回数</t>
  </si>
  <si>
    <t>売りエントリー回数</t>
  </si>
  <si>
    <t>合計トレード回数</t>
  </si>
  <si>
    <t>合計勝ち数</t>
  </si>
  <si>
    <t>合計負け数</t>
  </si>
  <si>
    <t>引き分け</t>
  </si>
  <si>
    <t>保留</t>
  </si>
  <si>
    <t>合計利益</t>
  </si>
  <si>
    <t>合計損失</t>
  </si>
  <si>
    <t>合計損益</t>
  </si>
  <si>
    <t>最大連勝数</t>
  </si>
  <si>
    <t>最大連敗数</t>
  </si>
  <si>
    <t>最大DD(pips)</t>
  </si>
  <si>
    <t>エントリー手法別エントリー回数</t>
  </si>
  <si>
    <t>損益pips</t>
  </si>
  <si>
    <t>リベンジャーズ</t>
  </si>
  <si>
    <t>PAリベンジャーズ</t>
  </si>
  <si>
    <t>TJK</t>
  </si>
  <si>
    <t>HIS +1010</t>
  </si>
  <si>
    <t>RF +1010</t>
  </si>
  <si>
    <t>１．今、のあなたの現状を書いてください。</t>
  </si>
  <si>
    <t>（投資歴はどれくらいなのか、現状は勝てているのか負けているか？など）</t>
  </si>
  <si>
    <t>気づき：</t>
  </si>
  <si>
    <t>USDJPY</t>
  </si>
  <si>
    <t>USDCHF</t>
  </si>
  <si>
    <t>フィボナッチトレード</t>
  </si>
  <si>
    <t>EURUSD</t>
  </si>
  <si>
    <t>ヘッドアンドショルダー</t>
  </si>
  <si>
    <t>GBPUSD</t>
  </si>
  <si>
    <t>1日</t>
  </si>
  <si>
    <t>売り</t>
  </si>
  <si>
    <t>1日</t>
  </si>
  <si>
    <t>60分</t>
  </si>
  <si>
    <t>資金</t>
  </si>
  <si>
    <t>回
数</t>
  </si>
  <si>
    <t>ﾛｽｶｯﾄ%</t>
  </si>
  <si>
    <t>取引
単位</t>
  </si>
  <si>
    <t>決済</t>
  </si>
  <si>
    <t>時間足</t>
  </si>
  <si>
    <t>日時</t>
  </si>
  <si>
    <t>価格</t>
  </si>
  <si>
    <t>手法</t>
  </si>
  <si>
    <t>エントリー</t>
  </si>
  <si>
    <t>手法・条件</t>
  </si>
  <si>
    <t>基本</t>
  </si>
  <si>
    <t>差額</t>
  </si>
  <si>
    <t>買い</t>
  </si>
  <si>
    <t>ﾛｽｶｯﾄ円</t>
  </si>
  <si>
    <t>損切</t>
  </si>
  <si>
    <t>ﾛｽｶｯﾄ
Pips</t>
  </si>
  <si>
    <t>買いの場合</t>
  </si>
  <si>
    <t>売りの場合</t>
  </si>
  <si>
    <t>ﾛｽｶｯﾄ位置設定</t>
  </si>
  <si>
    <t>エントリー基準となったPBの安値</t>
  </si>
  <si>
    <t>エントリー基準となったPBの高値</t>
  </si>
  <si>
    <t>検証ルール①</t>
  </si>
  <si>
    <t>USD/JPY</t>
  </si>
  <si>
    <t>MA線の上にできたPBが実体小さく、下に長いひげができている場合で、次のろうそく足がこの時の高値＋1を超えた時点で買いエントリー</t>
  </si>
  <si>
    <t>MA線の上にできたPBが実体小さく、上に長いひげができている場合で、次のろうそく足がこの時の安値を‐1を切った時点で売りエントリー</t>
  </si>
  <si>
    <t>決済条件</t>
  </si>
  <si>
    <t>検証ルール①　買いPB（陰線）</t>
  </si>
  <si>
    <t>検証ルール①　売りPB（陽線）</t>
  </si>
  <si>
    <t>1ピップ辺りの損益</t>
  </si>
  <si>
    <t>ﾛｽｶｯﾄ</t>
  </si>
  <si>
    <t>検証ルール①　買いPB（陽線）</t>
  </si>
  <si>
    <t>ターゲットライン到達</t>
  </si>
  <si>
    <t>エントリー以前に反転したポイントに横線（ターゲット１）を引き、そのラインに達した時点で決済</t>
  </si>
  <si>
    <t>ストップ＆ターゲットライン到達</t>
  </si>
  <si>
    <t>検証ルール①　売りPB（陰線）</t>
  </si>
  <si>
    <t>サポレジ線引くルール</t>
  </si>
  <si>
    <t>買い、売りの場合同様、直近での高値・安値が一つ目、さらにそこから二つ目の高値・安値が2つ目でひく</t>
  </si>
  <si>
    <t>ロット数
１万通貨</t>
  </si>
  <si>
    <t>数量
千通貨</t>
  </si>
  <si>
    <t>仕掛け②日足</t>
  </si>
  <si>
    <t>仕掛け①で6割の勝率</t>
  </si>
  <si>
    <t>EB検証　2015/8/18～</t>
  </si>
  <si>
    <t>EB：</t>
  </si>
  <si>
    <t>PB：</t>
  </si>
  <si>
    <t>日足◎</t>
  </si>
  <si>
    <t>240分足◎</t>
  </si>
  <si>
    <t>60分足◎</t>
  </si>
  <si>
    <t>２つのMA線の上にできたPBが実体小さく下ヒゲor２つのMA線下にできたPBが実体小さく上ヒゲのPB</t>
  </si>
  <si>
    <t>→買いPBならアップトレンド、売りPBならダウントレンド</t>
  </si>
  <si>
    <t>PB有効期限</t>
  </si>
  <si>
    <t>ストップを超える場合は無効判定　UPトレンドでダウントレンドになるのはおかしい</t>
  </si>
  <si>
    <t>買いの場合：エントリー基準となったPBの安値</t>
  </si>
  <si>
    <t>売りの場合：エントリー基準となったPBの高値</t>
  </si>
  <si>
    <t>エントリーは高値安値の±１</t>
  </si>
  <si>
    <t>仕掛け①ルール</t>
  </si>
  <si>
    <t>仕掛け②ルール</t>
  </si>
  <si>
    <t>MA線にEBどちらか1本がまたぐもしくは触っているもの</t>
  </si>
  <si>
    <t>ﾛｽｶｯﾄ位置</t>
  </si>
  <si>
    <t>エントリートリガーのEB（右側）の高値安値</t>
  </si>
  <si>
    <t>円レート
（外貨用）</t>
  </si>
  <si>
    <t>検証は2014年</t>
  </si>
  <si>
    <t>決済方法</t>
  </si>
  <si>
    <t>ロット数
損益金額</t>
  </si>
  <si>
    <t>EB出現またはPBでトレーリングストップ</t>
  </si>
  <si>
    <t>左右ともに陽線</t>
  </si>
  <si>
    <t>左陰線　右陽線</t>
  </si>
  <si>
    <t>MA線2線の上なので仕掛け②の買い対象</t>
  </si>
  <si>
    <t>MA2線に触れないのでエントリ対象外</t>
  </si>
  <si>
    <t>でも線より上なので買い</t>
  </si>
  <si>
    <t>みんな買いEB</t>
  </si>
  <si>
    <t>上昇するので買いとみたいけど</t>
  </si>
  <si>
    <t>且つ、MA2線の上なので仕掛け②買い対象</t>
  </si>
  <si>
    <t>MA２線下なので仕掛け②売り対象？</t>
  </si>
  <si>
    <t>左陽線　右陰線</t>
  </si>
  <si>
    <t>右キャンドルが陰線だから売りと思いたいけど</t>
  </si>
  <si>
    <t>キャンドル実態は上にいっぱいあるので仕掛け②買い？</t>
  </si>
  <si>
    <t>どっちもすっぽりMA線の中。ヒゲが上なので買い？</t>
  </si>
  <si>
    <t>それともボディ上にも下にも出てないけど、右陰線なので売り？</t>
  </si>
  <si>
    <t>仕掛け②・・・？</t>
  </si>
  <si>
    <t>なにEB？</t>
  </si>
  <si>
    <t>売りEBと怪しい売りEB</t>
  </si>
  <si>
    <t>MA線より下だから売りEB？</t>
  </si>
  <si>
    <t>真ん中左側</t>
  </si>
  <si>
    <t>左側２つEB（③）</t>
  </si>
  <si>
    <t>左側EB</t>
  </si>
  <si>
    <t>真ん中EB</t>
  </si>
  <si>
    <t>右側EB</t>
  </si>
  <si>
    <t>左側EB</t>
  </si>
  <si>
    <t>真ん中EB(①）</t>
  </si>
  <si>
    <t>右側EB（②）</t>
  </si>
  <si>
    <t>MA線の下にでてるので仕掛け②売り対象</t>
  </si>
  <si>
    <t>真ん中右側２つ</t>
  </si>
  <si>
    <t>MA線の下にあるので仕掛け②売り</t>
  </si>
  <si>
    <t>でも線に触ってないから対象外？</t>
  </si>
  <si>
    <t>右側EB（④）</t>
  </si>
  <si>
    <t>MA線下にあるから仕掛け②売り？</t>
  </si>
  <si>
    <t>質問EBしりーず。</t>
  </si>
  <si>
    <t>数量
万通貨</t>
  </si>
  <si>
    <t>買い（陰線陽線）</t>
  </si>
  <si>
    <t>買い（陽線陰線）</t>
  </si>
  <si>
    <t>買い（陰線陰線）</t>
  </si>
  <si>
    <t>売り（陽線陰線）</t>
  </si>
  <si>
    <t>売り（陽線陰線）が正解　買い？サポートフォーラム問い合わせ中</t>
  </si>
  <si>
    <t>買い（一字陰線）</t>
  </si>
  <si>
    <t>売り（陰線陽線）</t>
  </si>
  <si>
    <t>売り（陽線陰線）（見た目ありぽいけど）</t>
  </si>
  <si>
    <t>売り（陽線陰線）</t>
  </si>
  <si>
    <t>売り（陽線陰線）（EB実体が下MAに触ってるから）</t>
  </si>
  <si>
    <t>買い（陰線陽線）（トレンド方向で判断）</t>
  </si>
  <si>
    <t>売り（陽線陽線）</t>
  </si>
  <si>
    <t>未エントリー</t>
  </si>
  <si>
    <t>トレーリング</t>
  </si>
  <si>
    <t>No.2のトレーリング位置</t>
  </si>
  <si>
    <t>トレーリング</t>
  </si>
  <si>
    <t>No.5のトレーリング</t>
  </si>
  <si>
    <t>対象外</t>
  </si>
  <si>
    <t>対象外：安値更新</t>
  </si>
  <si>
    <t>対象外：でかすぎ</t>
  </si>
  <si>
    <t>対象外：売りPB線中</t>
  </si>
  <si>
    <t>トレーリング</t>
  </si>
  <si>
    <t>No.13のトレーリング</t>
  </si>
  <si>
    <t>対象外：MA触ってない</t>
  </si>
  <si>
    <t>対象外：終値が線内</t>
  </si>
  <si>
    <t>対象外：MA線の中</t>
  </si>
  <si>
    <t>対象外：安値超えせず</t>
  </si>
  <si>
    <t>対象外：高値超えせず</t>
  </si>
  <si>
    <t>トレーリング</t>
  </si>
  <si>
    <t>対象外：Ma線触らず</t>
  </si>
  <si>
    <t>ﾛｽｶｯﾄ（ストップ移動後）</t>
  </si>
  <si>
    <t>No.30トレーリング</t>
  </si>
  <si>
    <t>No.33トレーリング</t>
  </si>
  <si>
    <t>対象外：MA上で売りの形</t>
  </si>
  <si>
    <t>買い（陰線陽線）ちょっと崩れてる。</t>
  </si>
  <si>
    <t>売り（陰線陽線）</t>
  </si>
  <si>
    <t>対象外：MA線下で買い</t>
  </si>
  <si>
    <t>売り（陽線陰線）</t>
  </si>
  <si>
    <t>No.43トレーリング</t>
  </si>
  <si>
    <t>売り（陰線陽線）</t>
  </si>
  <si>
    <t>買い（陰線陽線）</t>
  </si>
  <si>
    <t>対象外：MA線中買い形</t>
  </si>
  <si>
    <t>買い（陽線陰線）陰線）　PBとEBの組み合わせ</t>
  </si>
  <si>
    <t>対象外；MA線の上で売り形</t>
  </si>
  <si>
    <t>？</t>
  </si>
  <si>
    <t>建値決済　か（陽線陽線組の3/10の左キャンドル安値？</t>
  </si>
  <si>
    <t>対象外；MA線の下で買い形</t>
  </si>
  <si>
    <t>売り（陽線陰線）またがり</t>
  </si>
  <si>
    <t>安値更新せず見送り</t>
  </si>
  <si>
    <t>対象外：MA線触らず</t>
  </si>
  <si>
    <t>買い（陰線陽線）ぎりぎり</t>
  </si>
  <si>
    <t>ﾛｽｶｯﾄ（多分建値）</t>
  </si>
  <si>
    <t>ﾛｽｶｯﾄ：トレーリングストップ</t>
  </si>
  <si>
    <t>買い（陽線陰線）</t>
  </si>
  <si>
    <t>対象外：MA線上で売り形</t>
  </si>
  <si>
    <t>買い（陽線陰線）</t>
  </si>
  <si>
    <t>対象外：MA線触れず</t>
  </si>
  <si>
    <t>対象外：MA線上で売り＆触れず</t>
  </si>
  <si>
    <t>対象外：MA線内</t>
  </si>
  <si>
    <t>対象外：MA線に触れず　買い形</t>
  </si>
  <si>
    <t xml:space="preserve">売り（陽線陰線）売りPB </t>
  </si>
  <si>
    <t>買い（陽線陽線）</t>
  </si>
  <si>
    <t>対象外：MA線内　売り形</t>
  </si>
  <si>
    <t>対象外：MA線上売り形</t>
  </si>
  <si>
    <t>No.61トレーリング</t>
  </si>
  <si>
    <t>対象外：MA線触れず　上売り形</t>
  </si>
  <si>
    <t>対象外：MA線触れず</t>
  </si>
  <si>
    <t>No.61トレーリング</t>
  </si>
  <si>
    <t>高値更新せず見送り</t>
  </si>
  <si>
    <t>対象外：MA線触れず　上に売り形</t>
  </si>
  <si>
    <t>EB発見日時
（エントリーは翌日or日付）</t>
  </si>
  <si>
    <t>2014/12/30　(2015/1/6Entry)</t>
  </si>
  <si>
    <t>1pipsあたりの損益</t>
  </si>
  <si>
    <t>資金推移②</t>
  </si>
  <si>
    <t>実資金推移
（仮）</t>
  </si>
  <si>
    <t>金額</t>
  </si>
  <si>
    <t>ロット数
1万通貨</t>
  </si>
  <si>
    <t>利益金額</t>
  </si>
  <si>
    <t>数量
1万通貨</t>
  </si>
  <si>
    <t>対象外：MA線内に終値</t>
  </si>
  <si>
    <t>No.74トレーリング</t>
  </si>
  <si>
    <t>対象外；MA線下買い形</t>
  </si>
  <si>
    <t>買い（陽線陰線）</t>
  </si>
  <si>
    <t>対象外：MA線内終値</t>
  </si>
  <si>
    <t>買い（陰線陽線）</t>
  </si>
  <si>
    <t>No,81トレーリング</t>
  </si>
  <si>
    <t>ﾛｽｶｯﾄ（移動先か建値）</t>
  </si>
  <si>
    <t>売り（陽線陰線）買いPB</t>
  </si>
  <si>
    <t>対象外：終値MA線内　上で売り形</t>
  </si>
  <si>
    <t>買い（陽線陽線）</t>
  </si>
  <si>
    <t>買い（陽線陰線）</t>
  </si>
  <si>
    <t>対象外（MA線上で売り形）</t>
  </si>
  <si>
    <t>2013年負け</t>
  </si>
  <si>
    <t>2013年勝ち</t>
  </si>
  <si>
    <t>トレード数</t>
  </si>
  <si>
    <t>2014年勝ち</t>
  </si>
  <si>
    <t>負け</t>
  </si>
  <si>
    <t>2014年負け</t>
  </si>
  <si>
    <t>2015年勝ち</t>
  </si>
  <si>
    <t>日足　トータル集計</t>
  </si>
  <si>
    <t>４H足　トータル集計</t>
  </si>
  <si>
    <t>2013年～15年7月　　合計</t>
  </si>
  <si>
    <t>4H</t>
  </si>
  <si>
    <t>数量
1万通貨</t>
  </si>
  <si>
    <t>仕掛け②　日足画像</t>
  </si>
  <si>
    <t>直近2年分＋今年前半でエントリできたもの</t>
  </si>
  <si>
    <t>No.２</t>
  </si>
  <si>
    <t>No.13</t>
  </si>
  <si>
    <t>No.５</t>
  </si>
  <si>
    <t>No.15</t>
  </si>
  <si>
    <t>Np.27</t>
  </si>
  <si>
    <t>No.31</t>
  </si>
  <si>
    <t>No.33</t>
  </si>
  <si>
    <t>No.42</t>
  </si>
  <si>
    <t>No.47</t>
  </si>
  <si>
    <t>NO.53</t>
  </si>
  <si>
    <t>No.60</t>
  </si>
  <si>
    <t>No.61</t>
  </si>
  <si>
    <t>No.74</t>
  </si>
  <si>
    <t>No.81</t>
  </si>
  <si>
    <t>No.83</t>
  </si>
  <si>
    <t>No.87</t>
  </si>
  <si>
    <t>2年半の間に出現したEB（かなり厳密に見た）数は８８</t>
  </si>
  <si>
    <t>2013年</t>
  </si>
  <si>
    <t>ぱっと見で判断できるものとなるともうちょっと多いと思う。</t>
  </si>
  <si>
    <t>EB出現数</t>
  </si>
  <si>
    <t>内ｴﾝﾄﾘ数</t>
  </si>
  <si>
    <t>勝ち</t>
  </si>
  <si>
    <t>2014年</t>
  </si>
  <si>
    <t>2015年</t>
  </si>
  <si>
    <t>実は負けてる方が多かった。</t>
  </si>
  <si>
    <t>なんとなく、レンジ相場にいてる中で出現したものは</t>
  </si>
  <si>
    <t>たいてい負けてるような感じ。</t>
  </si>
  <si>
    <t>トレンドラインが出始めてるときにMAに触るEBはきれいな感じがした。</t>
  </si>
  <si>
    <t>逆にレンジ相場やトレンド終わり（やっぱりレンジ相場？）だと</t>
  </si>
  <si>
    <t>ﾛｽｶｯﾄで終わることが高い。</t>
  </si>
  <si>
    <t>すごーくながいEBはストップまでの幅が大きいのでエントリ迷う。</t>
  </si>
  <si>
    <t>あんまり長いのは遠慮しよう。</t>
  </si>
  <si>
    <t>EBは右キャンドルのひげが短いほうがいい。</t>
  </si>
  <si>
    <t>日足でPBとEBの組み合わせよくわからなかった。</t>
  </si>
  <si>
    <t>日足</t>
  </si>
  <si>
    <t>足りなければ2015年６月頃まで</t>
  </si>
  <si>
    <t>①MAセットはトレンドができはじめのタイミングで乗るといい</t>
  </si>
  <si>
    <t>②レンジ相場やトレンド終わりは乗らない</t>
  </si>
  <si>
    <t>③幅がとっても大きなものは乗らない</t>
  </si>
  <si>
    <t>勝率</t>
  </si>
  <si>
    <t>４H</t>
  </si>
  <si>
    <t>日付</t>
  </si>
  <si>
    <t>時間</t>
  </si>
  <si>
    <t>売</t>
  </si>
  <si>
    <t>買</t>
  </si>
  <si>
    <t>売り（陽線陰線）②</t>
  </si>
  <si>
    <t>買い（陰線陽線）②</t>
  </si>
  <si>
    <t>売り（陽線陰線）①MA上</t>
  </si>
  <si>
    <t>買い（陰線陽線）①</t>
  </si>
  <si>
    <t>買い（陰線陽線）①MA上</t>
  </si>
  <si>
    <t>売り（陽線陰線）①MA内左買PB</t>
  </si>
  <si>
    <t>売り（陽線陰線）①MA上左売PB</t>
  </si>
  <si>
    <t>買い（陰線陽線）①MA下</t>
  </si>
  <si>
    <t>買い（陰線陽線）②MA超</t>
  </si>
  <si>
    <t>買い（陰線陽線）②MA跨ぎ</t>
  </si>
  <si>
    <t>買い（陰線陽線）②左売りPBMA内</t>
  </si>
  <si>
    <t>売り（陽線陰線）②左売りPBMA上</t>
  </si>
  <si>
    <t>売り（陽線陰線）①MA内</t>
  </si>
  <si>
    <t>売り（陽線陰線）②MA跨ぎ左売PBMA上</t>
  </si>
  <si>
    <t>買い（陰線陽線）①MA下左売りPB</t>
  </si>
  <si>
    <t>売り（陽線陰線）②左売PBMA内</t>
  </si>
  <si>
    <t>買い（陰線陽線）②MA跨ぐ</t>
  </si>
  <si>
    <t>買い（陰線陽線）①MA触らず</t>
  </si>
  <si>
    <t>売り（陽線陰線）①MA触らず</t>
  </si>
  <si>
    <t>売り（陽線陰線）②MA跨ぐ5つ前にMA上買PB</t>
  </si>
  <si>
    <t>手法・条件(①EB ②EB+MA）</t>
  </si>
  <si>
    <t>年</t>
  </si>
  <si>
    <t>Lot数×金額</t>
  </si>
  <si>
    <t>資金推移</t>
  </si>
  <si>
    <t>見送り</t>
  </si>
  <si>
    <t>買い（陰線陽線）②左売りPBMA内上線接触</t>
  </si>
  <si>
    <t>20（０）</t>
  </si>
  <si>
    <t>ﾛｽｶｯﾄ</t>
  </si>
  <si>
    <t>1/7(1/8）</t>
  </si>
  <si>
    <t>12（16）</t>
  </si>
  <si>
    <t>EB検証</t>
  </si>
  <si>
    <t>No.</t>
  </si>
  <si>
    <t>売買</t>
  </si>
  <si>
    <t>価格</t>
  </si>
  <si>
    <t>EB</t>
  </si>
  <si>
    <t>検証</t>
  </si>
  <si>
    <t>IN日付</t>
  </si>
  <si>
    <t>決済日</t>
  </si>
  <si>
    <t>決済時間</t>
  </si>
  <si>
    <t>決済価格</t>
  </si>
  <si>
    <t>ルール④EB出現後抜けて戻った後のエントリー</t>
  </si>
  <si>
    <t>決済
条件</t>
  </si>
  <si>
    <t>×</t>
  </si>
  <si>
    <t>ルール①EB高値安値ブレイク</t>
  </si>
  <si>
    <t>ルール②EB出現後ダウエントリー(直近高値安値更新)</t>
  </si>
  <si>
    <t>×</t>
  </si>
  <si>
    <t>？</t>
  </si>
  <si>
    <t>トレーリング
PBもしくはEBの高値安値に移動</t>
  </si>
  <si>
    <t>×　高値更新により見送り</t>
  </si>
  <si>
    <t>ルール③EB出現時MAエントリー</t>
  </si>
  <si>
    <t>①EB高値安値ブレイク
②EB出現後ダウ(S/R)エントリー
③EB出現時MAエントリー
④EB出現後抜けて戻った後のエントリー</t>
  </si>
  <si>
    <t>×戻らず？</t>
  </si>
  <si>
    <t>×直近安値更新せず</t>
  </si>
  <si>
    <t>×左右MA内</t>
  </si>
  <si>
    <t>次EB?Entry</t>
  </si>
  <si>
    <t>レンジ相場にPB・EB・自分込みで弱い。</t>
  </si>
  <si>
    <t>反応するところは反応するのだけど、</t>
  </si>
  <si>
    <t>ダメになることが多いのは</t>
  </si>
  <si>
    <t>ついトレンドラインをぬけた！と思ったりしても</t>
  </si>
  <si>
    <t>ダメになるのはそういうところでトレードしてるからだと思った。</t>
  </si>
  <si>
    <t>とりあえずエントリーする場所を増やすこともそうかもしれないけど</t>
  </si>
  <si>
    <t>それがどう動いていくのか？の精度とか相場観？をもっと養うべき。</t>
  </si>
  <si>
    <t>エントリーでトレードの勝率を上げるのも</t>
  </si>
  <si>
    <t>結局は自分の中にある過去のパターンや分析をもっともっと増やしていかないと</t>
  </si>
  <si>
    <t>ダメだと思う。　ようは数こなして何ぼかぁ！（＞＜）　</t>
  </si>
  <si>
    <t>数字入れると長時間かかるけどやるしかない！</t>
  </si>
  <si>
    <t>ﾛｽｶｯﾄ（トレーリング）</t>
  </si>
  <si>
    <t>8（８）</t>
  </si>
  <si>
    <t>高値更新したので見送り</t>
  </si>
  <si>
    <t>2014/1/22（23）</t>
  </si>
  <si>
    <t>8（12）</t>
  </si>
  <si>
    <t>8（１２）</t>
  </si>
  <si>
    <t>2014/1/29(1/30)</t>
  </si>
  <si>
    <t>20(４)</t>
  </si>
  <si>
    <t>ﾛｽｶｯﾄ（No.13のストップ先</t>
  </si>
  <si>
    <t>NO.9の移動先　安値更新せず見送り</t>
  </si>
  <si>
    <t>売り（陽線陰線）①MA内？終値下回る直前</t>
  </si>
  <si>
    <t>16(20)</t>
  </si>
  <si>
    <t>週跨ぎでトレードできるかな？これ。</t>
  </si>
  <si>
    <t>4（８）</t>
  </si>
  <si>
    <t>0(8)</t>
  </si>
  <si>
    <t>もし、EBのみでトレーリングしてたらマイナスで終了</t>
  </si>
  <si>
    <t>0(4)</t>
  </si>
  <si>
    <t>2014/2/21(24)</t>
  </si>
  <si>
    <t>8(12)</t>
  </si>
  <si>
    <t>売りPBで買いEB・・・矛盾？</t>
  </si>
  <si>
    <t>8（12）</t>
  </si>
  <si>
    <t>週跨ぎで価格が飛んでるためエントリーできず見送り（注文がとおたっ頃にはﾛｽｶｯﾄで終わる）</t>
  </si>
  <si>
    <t>8（１６）</t>
  </si>
  <si>
    <t>ﾛｽｶｯﾄ（トレーリング</t>
  </si>
  <si>
    <t>20(４)</t>
  </si>
  <si>
    <t>8（１２）</t>
  </si>
  <si>
    <t>16(20)</t>
  </si>
  <si>
    <t>2014/3/21（２４）</t>
  </si>
  <si>
    <t>12（４）</t>
  </si>
  <si>
    <t>買</t>
  </si>
  <si>
    <t>買い（陰線陽線）②終値が２MA上</t>
  </si>
  <si>
    <t>売り（陽線陰線）①MA上</t>
  </si>
  <si>
    <t>12(16)</t>
  </si>
  <si>
    <t>2014/3/27(3/28)</t>
  </si>
  <si>
    <t>めっちゃ小っちゃけEBに気が付かずに終わる。気づいてたらほぼ山のてっぺんでおわり。</t>
  </si>
  <si>
    <t>4(16)</t>
  </si>
  <si>
    <t>2014/4/15(4/16）</t>
  </si>
  <si>
    <t>20(0)</t>
  </si>
  <si>
    <t>買い（陰線陽線）①MA上</t>
  </si>
  <si>
    <t>12(0)</t>
  </si>
  <si>
    <t>買い（陰線陽線）②MA跨いで上</t>
  </si>
  <si>
    <t>売</t>
  </si>
  <si>
    <t>売り（陽線陰線）①ぎりぎり終値MA内</t>
  </si>
  <si>
    <t>4（８）</t>
  </si>
  <si>
    <t>売り（陽線陰線）②MA跨いで下</t>
  </si>
  <si>
    <t>16（１２）</t>
  </si>
  <si>
    <t>4/24(4/25）</t>
  </si>
  <si>
    <t>4/21(4/22)</t>
  </si>
  <si>
    <t>買い（陰線陽線）②MA跨いでぎりぎり上</t>
  </si>
  <si>
    <t>4/23(24)</t>
  </si>
  <si>
    <t>16（１２）</t>
  </si>
  <si>
    <t>売り(陽線陰線）②MA跨いで下</t>
  </si>
  <si>
    <t>4/24(25)</t>
  </si>
  <si>
    <t>買い（陰線陽線）②MA中抜けて上</t>
  </si>
  <si>
    <t>4/28（29）</t>
  </si>
  <si>
    <t>12（８）</t>
  </si>
  <si>
    <t>出来て建値決済</t>
  </si>
  <si>
    <t>買い（十字陽線）①MA上</t>
  </si>
  <si>
    <t>売り（陽線陰線）①MA上</t>
  </si>
  <si>
    <t>4/29（30）</t>
  </si>
  <si>
    <t>16（４）</t>
  </si>
  <si>
    <t>出来て建値決済（結構下がってるけど移動する先がないから移動の仕方考えるorターゲットにする必要あり）</t>
  </si>
  <si>
    <t>4/30（３０）</t>
  </si>
  <si>
    <t>スプレッド拡大だったら即ﾛｽｶｯﾄ決済されてるケース。できて建値。建値移動してたら即ロスカットかな。</t>
  </si>
  <si>
    <t>売り（陰線陽線）②MA跨いで下</t>
  </si>
  <si>
    <t>4/30（30）</t>
  </si>
  <si>
    <t>買い（陰線陽線）①MA下</t>
  </si>
  <si>
    <t>5/1（１）</t>
  </si>
  <si>
    <t>４（１２）</t>
  </si>
  <si>
    <t>ﾛｽｶｯﾄ(トレーリング）</t>
  </si>
  <si>
    <t>ストップ移動後8本目で買いPB。上昇とみてこの時点での決済して逃げるのもあり？？</t>
  </si>
  <si>
    <t>5/2（5)</t>
  </si>
  <si>
    <t>16(0)</t>
  </si>
  <si>
    <t>5/6（7)</t>
  </si>
  <si>
    <t>２０（0)</t>
  </si>
  <si>
    <t>建値もあげれない。</t>
  </si>
  <si>
    <t>買い（陰線陽線）①終値MA内</t>
  </si>
  <si>
    <t>5/7（7)</t>
  </si>
  <si>
    <t>出来て建値決済（それで即終了）</t>
  </si>
  <si>
    <t>建値も無理</t>
  </si>
  <si>
    <t>5/7(8)</t>
  </si>
  <si>
    <t>２０（０）</t>
  </si>
  <si>
    <t>5/13（14）</t>
  </si>
  <si>
    <t>12(8)</t>
  </si>
  <si>
    <t>下落谷から山作る途中でﾛｽｶｯﾄ。</t>
  </si>
  <si>
    <t>売り（陽線陰線）②MA中から下</t>
  </si>
  <si>
    <t>5/15（１９）</t>
  </si>
  <si>
    <t>16（８）</t>
  </si>
  <si>
    <t>EBはきっちりじゃないとダメなんだろうか？1pips未満の誤差は許容範囲？</t>
  </si>
  <si>
    <t>売り（陽線陰線）①MA下</t>
  </si>
  <si>
    <t>5/16（16)</t>
  </si>
  <si>
    <t>4（１２）</t>
  </si>
  <si>
    <t>エントリタイミングによっては即ﾛｽｶｯﾄ決済。進んでも建値決済</t>
  </si>
  <si>
    <t>売り（陽線陰線）②MA内から下</t>
  </si>
  <si>
    <t>5/19（19)</t>
  </si>
  <si>
    <t>4(8)</t>
  </si>
  <si>
    <t>5/20（20)</t>
  </si>
  <si>
    <t>8(16）</t>
  </si>
  <si>
    <t>5/21(21)</t>
  </si>
  <si>
    <t>12（16）)</t>
  </si>
  <si>
    <t>PBが出たのでそこにトレーリング・・・で決済。移動できるEBのストップが見つからない</t>
  </si>
  <si>
    <t>12(16)</t>
  </si>
  <si>
    <t>5/23(23）</t>
  </si>
  <si>
    <t>買い（陰線陽線）②</t>
  </si>
  <si>
    <t>買い（陰線陽線）②左買いPB</t>
  </si>
  <si>
    <t>出来て建値？　20pipsも上がってないから無理か。</t>
  </si>
  <si>
    <t>売り（陽線陰線）①終値MA内</t>
  </si>
  <si>
    <t>5/27（28)</t>
  </si>
  <si>
    <t>８（12）</t>
  </si>
  <si>
    <t>5/29（29)</t>
  </si>
  <si>
    <t>エントリタイミングによっては即ﾛｽｶｯﾄ決済。</t>
  </si>
  <si>
    <t>5/30(</t>
  </si>
  <si>
    <t>20(</t>
  </si>
  <si>
    <t>6/3(3）</t>
  </si>
  <si>
    <t>もっと上がってるのにちっとも利が取れなかった。トレーリングは難しい。</t>
  </si>
  <si>
    <t>明らかにレンジ相場である場合はトレーリングよりもターゲットで到達したら決済の方がよさそう。</t>
  </si>
  <si>
    <t>ただ、それ以上伸びるかも？っていう予想が取れないときはトレーリングで伸ばしたい。</t>
  </si>
  <si>
    <t>でもトレーリングでもある程度ターゲット決めてちょっとずつ利益確定増やしながらいけたらいいのかなぁ。。？</t>
  </si>
  <si>
    <t>6/4（4)</t>
  </si>
  <si>
    <t>てっぺんに気づくかな・・？もうちょっと時間経ってから</t>
  </si>
  <si>
    <t>6/5（5)</t>
  </si>
  <si>
    <t>EBで下げるよりダウで下げるのがいい？？</t>
  </si>
  <si>
    <t>売り（陽線陰線）②</t>
  </si>
  <si>
    <t>6/5（6)</t>
  </si>
  <si>
    <t>No.77と同じようにEBで移動した。</t>
  </si>
  <si>
    <t>6/6（9)</t>
  </si>
  <si>
    <t>前回安値を更新して出たEBだから下落開始と思われる買はエントリ見送るべき・・・？</t>
  </si>
  <si>
    <t>買</t>
  </si>
  <si>
    <t>買い（陰線陽線）①終値MA内</t>
  </si>
  <si>
    <t>6/13(13)</t>
  </si>
  <si>
    <t>ダウントレンド中の短期アップトレンドだった。</t>
  </si>
  <si>
    <t>6/17(17)</t>
  </si>
  <si>
    <t>安値を切り上げてきたアップトレンドに少し乗った感じ。でもレンジ相場というか三角持合いぽい中のトレード。</t>
  </si>
  <si>
    <t>エントリ直後上がって下がられているところに出くわしてるともっと早くにﾛｽｶｯﾄに会ってる。</t>
  </si>
  <si>
    <t>6/18（18)</t>
  </si>
  <si>
    <t>6/18(19)</t>
  </si>
  <si>
    <t>２０PIｐｓで建値なら建値決済で終わり</t>
  </si>
  <si>
    <t>6/20(20)</t>
  </si>
  <si>
    <t>6/23(23)</t>
  </si>
  <si>
    <t>レンジ相場</t>
  </si>
  <si>
    <t>レンジ相場　直近安値ターゲット到達だと利益確定</t>
  </si>
  <si>
    <t>6/25(26)</t>
  </si>
  <si>
    <t>ちょっとした最後のダウントレンド（中期後期らへん）で取れた感じ。</t>
  </si>
  <si>
    <t>売り（陽線陰線）②ギリギリ・・・　</t>
  </si>
  <si>
    <t>6/26(26)</t>
  </si>
  <si>
    <t>０(12)</t>
  </si>
  <si>
    <t>売り（陽線陰線）①ちょっとだけMA下</t>
  </si>
  <si>
    <t>6/30(30)</t>
  </si>
  <si>
    <t>底トレード。。</t>
  </si>
  <si>
    <t>買い（陰線陽線）①MA下 ヒゲだけ接触</t>
  </si>
  <si>
    <t>8(16)</t>
  </si>
  <si>
    <t>6/30(</t>
  </si>
  <si>
    <t>買い（陰線陽線)②</t>
  </si>
  <si>
    <t>エントリー後1pip差まで落ちてスプレッド拡大とかだとﾛｽｶｯﾄで終わってたと思う。</t>
  </si>
  <si>
    <t>7/1(1)</t>
  </si>
  <si>
    <t>買い（陰線陽線）②MA跨いで上</t>
  </si>
  <si>
    <t>7/2(2)</t>
  </si>
  <si>
    <t>PBにあげていけてたらもっと幅取れたかな。。</t>
  </si>
  <si>
    <t>7/3(3)</t>
  </si>
  <si>
    <t>買い（陰線陽線）①MA上</t>
  </si>
  <si>
    <t>EBだとストップ上げれず。PBなら上げれたんだけどな。　建値にあげてたら建値決済</t>
  </si>
  <si>
    <t>エントリー直後のローソクで高値更新されてるから本当ならﾛｽｶｯﾄだったかもしれない。</t>
  </si>
  <si>
    <t>7/3(4)</t>
  </si>
  <si>
    <t>7/4(</t>
  </si>
  <si>
    <t>売り（陽線陰線）①MA内</t>
  </si>
  <si>
    <t>EBの高値更新だから、ほんとは見送りだと思う。。</t>
  </si>
  <si>
    <t>0(16)</t>
  </si>
  <si>
    <t>7/8(8)</t>
  </si>
  <si>
    <t>一回目の移動でﾛｽｶｯﾄにあってもおかしくない。</t>
  </si>
  <si>
    <t>ﾛｽｶｯﾄされてもおかしくない0.3pip差。スプレッド足したらﾛｽｶｯﾄ対象かも。No.96の判定もスプレッド入れたら同じ位置でﾛｽｶｯﾄ</t>
  </si>
  <si>
    <t>7/9(10)</t>
  </si>
  <si>
    <t>No.96と同じ。</t>
  </si>
  <si>
    <t>売り（陽線陰線）①ギリギリ触らず</t>
  </si>
  <si>
    <t>底トレード。</t>
  </si>
  <si>
    <t>7/11（11)</t>
  </si>
  <si>
    <t>4(20)</t>
  </si>
  <si>
    <t>7/11(</t>
  </si>
  <si>
    <t>仕掛け②</t>
  </si>
  <si>
    <t>それ以外</t>
  </si>
  <si>
    <t>勝ち：</t>
  </si>
  <si>
    <t>買い（陰線陽線）①MA内</t>
  </si>
  <si>
    <t>7/14(14)</t>
  </si>
  <si>
    <t>4(８)</t>
  </si>
  <si>
    <t>20(16)</t>
  </si>
  <si>
    <t>上がって下がったのか、下がって上がったのかはわかんないけど、どちらにせよﾛｽｶｯﾄの道しかない感じ。</t>
  </si>
  <si>
    <t>7/15(15)</t>
  </si>
  <si>
    <t>エントリ後に切られてた可能性大。切られてないとしても最大14pipsなので建値決済も不可。</t>
  </si>
  <si>
    <t>7/14(15)</t>
  </si>
  <si>
    <t>16(</t>
  </si>
  <si>
    <t>7/16(17)</t>
  </si>
  <si>
    <t>売り（陽線陰線）①MA上　ヒゲMA触れる程度</t>
  </si>
  <si>
    <t>ストップ移動後2時間先に売りPB出た。こっちに移動してもよかったかも？</t>
  </si>
  <si>
    <t>7/18(21)</t>
  </si>
  <si>
    <t>20(4)</t>
  </si>
  <si>
    <t>PBにストップ移動出来てもマイナス　レンジ相場は本当にダメ。</t>
  </si>
  <si>
    <t>7/22(22)</t>
  </si>
  <si>
    <t>トレンドライン割って上昇方向なのに売りでエントリ？　違和感。</t>
  </si>
  <si>
    <t>7/23（23)</t>
  </si>
  <si>
    <t>ん？</t>
  </si>
  <si>
    <t>7/24(24)</t>
  </si>
  <si>
    <t>買い（陰線陽線）②　リベンジ</t>
  </si>
  <si>
    <t>ﾛｽｶｯﾄ（トレーリング）</t>
  </si>
  <si>
    <t>最後ストップ移動させてからすごく上がったのに、移動させるところが見つけられず、あんまり利益とれてない。</t>
  </si>
  <si>
    <t>８（４）</t>
  </si>
  <si>
    <t>7/25（29)</t>
  </si>
  <si>
    <t>7/24（24)</t>
  </si>
  <si>
    <t>買い（陰線陽線）②ギリギリ接触</t>
  </si>
  <si>
    <t>ﾛｽｶｯﾄ（建値決済）</t>
  </si>
  <si>
    <t>ストップの移動できるところがどこかわかんなかったので建値決済・・・</t>
  </si>
  <si>
    <t>7/29(29)</t>
  </si>
  <si>
    <t>8/5(5)</t>
  </si>
  <si>
    <t>？　レンジ相場？よくわかんない</t>
  </si>
  <si>
    <t>週末入る前に決済したいところかも？</t>
  </si>
  <si>
    <t>8/6(6)</t>
  </si>
  <si>
    <t>8/8(8)</t>
  </si>
  <si>
    <t>売り（陽線陰線）①　ギリギリ触らず</t>
  </si>
  <si>
    <t>うーん。。。</t>
  </si>
  <si>
    <t>調整に落ちたところ？でﾛｽｶｯﾄ。</t>
  </si>
  <si>
    <t>12(20)</t>
  </si>
  <si>
    <t>買い（陰線陽線）①MA下ヒゲMA線に接触</t>
  </si>
  <si>
    <t>8/8(11)</t>
  </si>
  <si>
    <t>8/14(14)</t>
  </si>
  <si>
    <t>16（20)</t>
  </si>
  <si>
    <t>8/18(18）</t>
  </si>
  <si>
    <t>めちゃとれた！？</t>
  </si>
  <si>
    <t>8/22(22)</t>
  </si>
  <si>
    <t>一時的な調整のへこみ</t>
  </si>
  <si>
    <t>8/22(25)</t>
  </si>
  <si>
    <t>レンジ相場に入った瞬間　左キャンドルをストップに置くとﾛｽｶｯﾄを避けられる。。でも幅がデカい。</t>
  </si>
  <si>
    <t>8/25（26)</t>
  </si>
  <si>
    <t>8/26(</t>
  </si>
  <si>
    <t>４H足仕掛け②のみ　トータル集計</t>
  </si>
  <si>
    <t>４H足仕掛け②以外　トータル集計</t>
  </si>
  <si>
    <t>すごく悩む。よくばりなんだろうなぁ。</t>
  </si>
  <si>
    <t>トレンドが出ているところは調子よく上る。</t>
  </si>
  <si>
    <t>PBより出現頻度高く勝率悪い？？</t>
  </si>
  <si>
    <t>EB小さくなればなるほど、終値と次の開始値の差を見てたらちかちかして進まなくなってきた。</t>
  </si>
  <si>
    <t>0.1pipは切り捨てて、0pip差であればEBってことにして進めてみたけど</t>
  </si>
  <si>
    <t>小さいもの同士だとわかりづらい。EBだけどすごくわかりづらい。</t>
  </si>
  <si>
    <t>これ省いていいかな・・・・。。あと、実はEBポく見えるだけで2pip位誤差あった。</t>
  </si>
  <si>
    <t>EB検証してて、前後PB・EBの組み合わせで出たものとか、EBの後にPBが出て、EBも作ってるのもあった。</t>
  </si>
  <si>
    <t>仕掛け②の方が利益率が高い。</t>
  </si>
  <si>
    <t>4時間で仕掛け②以外のEBも一緒に洗いだしたけど、日足ともにそこまで大きく勝率は変わらず。</t>
  </si>
  <si>
    <t>PBが60%くらいだったのに比べると、半分に落ち込んだ感じ。</t>
  </si>
  <si>
    <t>ちゃんとポジションサイジング取ってたら、元本割れしても元に戻ってきてるので</t>
  </si>
  <si>
    <t>大きな損失はあんまり見られない。</t>
  </si>
  <si>
    <t>日足の方がレンジ相場少ないのかな。</t>
  </si>
  <si>
    <t>時間足が短くなればなるほど、レンジ相場になってそうなところが増えて見えて</t>
  </si>
  <si>
    <t>短時間足のほうが読むのが大変なのかも。</t>
  </si>
  <si>
    <t>でもちゃんとトレンドがわかって方向性も限定できて来たら多分短い足でも十分使えると思う。</t>
  </si>
  <si>
    <t>幅狭いレンジ相場で戦おうとしてるからだってのがよくわかった。</t>
  </si>
  <si>
    <t>この調子で行くと１Hもあんまり変わらない勝率かな。</t>
  </si>
  <si>
    <t>そういえば、実態はEBだけど、ヒゲが最初上下に長くて、次ほぼないって変なのもEB。。。。？</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</si>
</sst>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_-;\-&quot;¥&quot;* #,##0_-;_-&quot;¥&quot;* &quot;-&quot;_-;_-@_-"/>
    <numFmt numFmtId="178" formatCode="_-* #,##0.00_-;\-* #,##0.00_-;_-* &quot;-&quot;??_-;_-@_-"/>
    <numFmt numFmtId="179" formatCode="_-&quot;¥&quot;* #,##0.00_-;\-&quot;¥&quot;* #,##0.00_-;_-&quot;¥&quot;* &quot;-&quot;??_-;_-@_-"/>
    <numFmt numFmtId="180" formatCode="0.00_ ;[Red]\-0.00\ "/>
    <numFmt numFmtId="181" formatCode="0.00_ "/>
    <numFmt numFmtId="182" formatCode="0.0_);[Red]\(0.0\)"/>
    <numFmt numFmtId="183" formatCode="m/d;@"/>
    <numFmt numFmtId="184" formatCode="&quot;¥&quot;#,##0_);[Red]\(&quot;¥&quot;#,##0\)"/>
    <numFmt numFmtId="185" formatCode="0_);[Red]\(0\)"/>
    <numFmt numFmtId="186" formatCode="#,##0_ ;[Red]\-#,##0\ "/>
    <numFmt numFmtId="187" formatCode="0.0%"/>
    <numFmt numFmtId="188" formatCode="yyyy/m/d;@"/>
    <numFmt numFmtId="189" formatCode="&quot;Yes&quot;;&quot;Yes&quot;;&quot;No&quot;"/>
    <numFmt numFmtId="190" formatCode="&quot;True&quot;;&quot;True&quot;;&quot;False&quot;"/>
    <numFmt numFmtId="191" formatCode="&quot;On&quot;;&quot;On&quot;;&quot;Off&quot;"/>
    <numFmt numFmtId="192" formatCode="[$€-2]\ #,##0.00_);[Red]\([$€-2]\ #,##0.00\)"/>
    <numFmt numFmtId="193" formatCode="#,##0_ "/>
    <numFmt numFmtId="194" formatCode="0_ "/>
    <numFmt numFmtId="195" formatCode="0.0_ "/>
    <numFmt numFmtId="196" formatCode="#,##0.000"/>
    <numFmt numFmtId="197" formatCode="m/d"/>
  </numFmts>
  <fonts count="52">
    <font>
      <sz val="11"/>
      <color indexed="8"/>
      <name val="ＭＳ Ｐゴシック"/>
      <family val="3"/>
    </font>
    <font>
      <sz val="11"/>
      <name val="ＭＳ Ｐゴシック"/>
      <family val="3"/>
    </font>
    <font>
      <sz val="11"/>
      <color indexed="10"/>
      <name val="ＭＳ Ｐゴシック"/>
      <family val="3"/>
    </font>
    <font>
      <b/>
      <sz val="11"/>
      <color indexed="8"/>
      <name val="ＭＳ Ｐゴシック"/>
      <family val="3"/>
    </font>
    <font>
      <sz val="11"/>
      <color indexed="9"/>
      <name val="ＭＳ Ｐゴシック"/>
      <family val="3"/>
    </font>
    <font>
      <b/>
      <sz val="12"/>
      <color indexed="8"/>
      <name val="ＭＳ Ｐゴシック"/>
      <family val="3"/>
    </font>
    <font>
      <sz val="12"/>
      <color indexed="8"/>
      <name val="ＭＳ Ｐゴシック"/>
      <family val="3"/>
    </font>
    <font>
      <sz val="12"/>
      <name val="MS PGothic"/>
      <family val="3"/>
    </font>
    <font>
      <sz val="9"/>
      <name val="ＭＳ Ｐゴシック"/>
      <family val="3"/>
    </font>
    <font>
      <b/>
      <sz val="12"/>
      <name val="ＭＳ Ｐゴシック"/>
      <family val="3"/>
    </font>
    <font>
      <sz val="12"/>
      <name val="ＭＳ Ｐゴシック"/>
      <family val="3"/>
    </font>
    <font>
      <sz val="6"/>
      <name val="ＭＳ Ｐゴシック"/>
      <family val="3"/>
    </font>
    <font>
      <b/>
      <sz val="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5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11"/>
      <color theme="0"/>
      <name val="ＭＳ Ｐゴシック"/>
      <family val="3"/>
    </font>
    <font>
      <sz val="11"/>
      <color theme="2" tint="-0.8999800086021423"/>
      <name val="ＭＳ Ｐゴシック"/>
      <family val="3"/>
    </font>
    <font>
      <b/>
      <sz val="8"/>
      <name val="ＭＳ Ｐゴシック"/>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CCFFFF"/>
        <bgColor indexed="64"/>
      </patternFill>
    </fill>
    <fill>
      <patternFill patternType="solid">
        <fgColor rgb="FFFFCCFF"/>
        <bgColor indexed="64"/>
      </patternFill>
    </fill>
    <fill>
      <patternFill patternType="solid">
        <fgColor rgb="FF3366CC"/>
        <bgColor indexed="64"/>
      </patternFill>
    </fill>
    <fill>
      <patternFill patternType="solid">
        <fgColor rgb="FF92D050"/>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style="medium"/>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medium"/>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thin"/>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medium"/>
      <top style="thin"/>
      <bottom>
        <color indexed="63"/>
      </bottom>
    </border>
    <border>
      <left style="medium"/>
      <right style="thin"/>
      <top>
        <color indexed="63"/>
      </top>
      <bottom style="medium"/>
    </border>
    <border>
      <left style="medium"/>
      <right style="thin"/>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tted"/>
      <top style="medium"/>
      <bottom>
        <color indexed="63"/>
      </bottom>
    </border>
    <border>
      <left style="dotted"/>
      <right style="dotted"/>
      <top style="medium"/>
      <bottom>
        <color indexed="63"/>
      </bottom>
    </border>
    <border>
      <left style="dotted"/>
      <right style="medium"/>
      <top style="medium"/>
      <bottom>
        <color indexed="63"/>
      </bottom>
    </border>
    <border>
      <left>
        <color indexed="63"/>
      </left>
      <right style="thin"/>
      <top style="medium"/>
      <bottom style="medium"/>
    </border>
    <border>
      <left style="dotted"/>
      <right>
        <color indexed="63"/>
      </right>
      <top style="medium"/>
      <bottom>
        <color indexed="63"/>
      </bottom>
    </border>
    <border>
      <left style="thin"/>
      <right style="dashed"/>
      <top style="thin"/>
      <bottom style="thin"/>
    </border>
    <border>
      <left style="dashed"/>
      <right style="dashed"/>
      <top style="thin"/>
      <bottom style="thin"/>
    </border>
    <border>
      <left>
        <color indexed="63"/>
      </left>
      <right style="thin"/>
      <top style="thin"/>
      <bottom style="thin"/>
    </border>
    <border>
      <left style="thin"/>
      <right style="dashed"/>
      <top>
        <color indexed="63"/>
      </top>
      <bottom style="thin"/>
    </border>
    <border>
      <left style="dashed"/>
      <right style="dashed"/>
      <top>
        <color indexed="63"/>
      </top>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medium"/>
    </border>
    <border>
      <left style="medium"/>
      <right style="thin"/>
      <top style="medium"/>
      <bottom style="thin"/>
    </border>
    <border>
      <left>
        <color indexed="63"/>
      </left>
      <right>
        <color indexed="63"/>
      </right>
      <top style="thin"/>
      <bottom style="thin"/>
    </border>
    <border>
      <left style="thin"/>
      <right style="thin"/>
      <top style="medium"/>
      <bottom style="thin"/>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medium">
        <color indexed="60"/>
      </left>
      <right style="medium">
        <color indexed="60"/>
      </right>
      <top style="medium">
        <color indexed="60"/>
      </top>
      <bottom style="medium">
        <color indexed="60"/>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double"/>
    </border>
    <border>
      <left>
        <color indexed="63"/>
      </left>
      <right>
        <color indexed="63"/>
      </right>
      <top>
        <color indexed="63"/>
      </top>
      <bottom style="double"/>
    </border>
    <border>
      <left style="dashed"/>
      <right>
        <color indexed="63"/>
      </right>
      <top>
        <color indexed="63"/>
      </top>
      <bottom style="thin"/>
    </border>
    <border>
      <left style="dashed"/>
      <right style="dashed"/>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1"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207">
    <xf numFmtId="0" fontId="0" fillId="0" borderId="0" xfId="0" applyAlignment="1">
      <alignment vertical="center"/>
    </xf>
    <xf numFmtId="0" fontId="0" fillId="0" borderId="1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2" fillId="0" borderId="10"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9" fontId="0" fillId="0" borderId="15" xfId="0" applyNumberFormat="1" applyFont="1" applyFill="1" applyBorder="1" applyAlignment="1" applyProtection="1">
      <alignment vertical="center"/>
      <protection/>
    </xf>
    <xf numFmtId="0" fontId="0" fillId="0" borderId="16"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180" fontId="0" fillId="0" borderId="10" xfId="0" applyNumberFormat="1" applyFont="1" applyFill="1" applyBorder="1" applyAlignment="1" applyProtection="1">
      <alignment vertical="center"/>
      <protection/>
    </xf>
    <xf numFmtId="181" fontId="0" fillId="0" borderId="10" xfId="0" applyNumberFormat="1" applyFont="1" applyFill="1" applyBorder="1" applyAlignment="1" applyProtection="1">
      <alignment vertical="center"/>
      <protection/>
    </xf>
    <xf numFmtId="0" fontId="0" fillId="0" borderId="18"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4"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2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4" fillId="33" borderId="29" xfId="0" applyNumberFormat="1" applyFont="1" applyFill="1" applyBorder="1" applyAlignment="1" applyProtection="1">
      <alignment horizontal="center" vertical="center"/>
      <protection/>
    </xf>
    <xf numFmtId="0" fontId="4" fillId="33" borderId="30" xfId="0" applyNumberFormat="1" applyFont="1" applyFill="1" applyBorder="1" applyAlignment="1" applyProtection="1">
      <alignment horizontal="center" vertical="center"/>
      <protection/>
    </xf>
    <xf numFmtId="0" fontId="4" fillId="33" borderId="31"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vertical="center"/>
      <protection/>
    </xf>
    <xf numFmtId="0" fontId="0" fillId="0" borderId="32" xfId="0" applyNumberFormat="1" applyFont="1" applyFill="1" applyBorder="1" applyAlignment="1" applyProtection="1">
      <alignment vertical="center"/>
      <protection/>
    </xf>
    <xf numFmtId="0" fontId="0" fillId="0" borderId="33" xfId="0" applyNumberFormat="1" applyFont="1" applyFill="1" applyBorder="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35"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vertical="center"/>
      <protection/>
    </xf>
    <xf numFmtId="0" fontId="0" fillId="0" borderId="30" xfId="0" applyNumberFormat="1" applyFont="1" applyFill="1" applyBorder="1" applyAlignment="1" applyProtection="1">
      <alignment vertical="center"/>
      <protection/>
    </xf>
    <xf numFmtId="0" fontId="0" fillId="34" borderId="28" xfId="0" applyNumberFormat="1" applyFont="1" applyFill="1" applyBorder="1" applyAlignment="1" applyProtection="1">
      <alignment vertical="center"/>
      <protection/>
    </xf>
    <xf numFmtId="0" fontId="0" fillId="34" borderId="30" xfId="0" applyNumberFormat="1" applyFont="1" applyFill="1" applyBorder="1" applyAlignment="1" applyProtection="1">
      <alignment vertical="center"/>
      <protection/>
    </xf>
    <xf numFmtId="0" fontId="0" fillId="0" borderId="30" xfId="0" applyNumberFormat="1" applyFont="1" applyFill="1" applyBorder="1" applyAlignment="1" applyProtection="1">
      <alignment horizontal="center" vertical="center"/>
      <protection/>
    </xf>
    <xf numFmtId="0" fontId="5" fillId="0" borderId="0" xfId="62" applyNumberFormat="1" applyFont="1" applyFill="1" applyBorder="1" applyAlignment="1" applyProtection="1">
      <alignment vertical="center"/>
      <protection/>
    </xf>
    <xf numFmtId="0" fontId="5" fillId="35" borderId="36" xfId="62" applyNumberFormat="1" applyFont="1" applyFill="1" applyBorder="1" applyAlignment="1" applyProtection="1">
      <alignment vertical="center"/>
      <protection/>
    </xf>
    <xf numFmtId="182" fontId="5" fillId="35" borderId="37" xfId="62" applyNumberFormat="1" applyFont="1" applyFill="1" applyBorder="1" applyAlignment="1" applyProtection="1">
      <alignment vertical="center"/>
      <protection/>
    </xf>
    <xf numFmtId="9" fontId="5" fillId="0" borderId="38" xfId="62" applyNumberFormat="1" applyFont="1" applyFill="1" applyBorder="1" applyAlignment="1" applyProtection="1">
      <alignment horizontal="center" vertical="center"/>
      <protection/>
    </xf>
    <xf numFmtId="5" fontId="5" fillId="0" borderId="31" xfId="62" applyNumberFormat="1" applyFont="1" applyFill="1" applyBorder="1" applyAlignment="1" applyProtection="1">
      <alignment horizontal="center" vertical="center"/>
      <protection/>
    </xf>
    <xf numFmtId="5" fontId="5" fillId="0" borderId="0" xfId="62" applyNumberFormat="1" applyFont="1" applyFill="1" applyBorder="1" applyAlignment="1" applyProtection="1">
      <alignment horizontal="center" vertical="center"/>
      <protection/>
    </xf>
    <xf numFmtId="6" fontId="5" fillId="35" borderId="37" xfId="62" applyNumberFormat="1" applyFont="1" applyFill="1" applyBorder="1" applyAlignment="1" applyProtection="1">
      <alignment vertical="center"/>
      <protection/>
    </xf>
    <xf numFmtId="6" fontId="5" fillId="0" borderId="39" xfId="62"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55" fontId="6" fillId="0" borderId="22" xfId="62" applyNumberFormat="1" applyFont="1" applyFill="1" applyBorder="1" applyAlignment="1" applyProtection="1">
      <alignment horizontal="center" vertical="center"/>
      <protection/>
    </xf>
    <xf numFmtId="0" fontId="5" fillId="35" borderId="40" xfId="62" applyNumberFormat="1" applyFont="1" applyFill="1" applyBorder="1" applyAlignment="1" applyProtection="1">
      <alignment horizontal="center" vertical="center"/>
      <protection/>
    </xf>
    <xf numFmtId="0" fontId="5" fillId="35" borderId="41" xfId="62" applyNumberFormat="1" applyFont="1" applyFill="1" applyBorder="1" applyAlignment="1" applyProtection="1">
      <alignment horizontal="center" vertical="center" wrapText="1"/>
      <protection/>
    </xf>
    <xf numFmtId="0" fontId="5" fillId="35" borderId="41" xfId="62" applyNumberFormat="1" applyFont="1" applyFill="1" applyBorder="1" applyAlignment="1" applyProtection="1">
      <alignment horizontal="center" vertical="center"/>
      <protection/>
    </xf>
    <xf numFmtId="182" fontId="5" fillId="35" borderId="41" xfId="62" applyNumberFormat="1" applyFont="1" applyFill="1" applyBorder="1" applyAlignment="1" applyProtection="1">
      <alignment horizontal="center" vertical="center" wrapText="1"/>
      <protection/>
    </xf>
    <xf numFmtId="183" fontId="5" fillId="35" borderId="41" xfId="62" applyNumberFormat="1" applyFont="1" applyFill="1" applyBorder="1" applyAlignment="1" applyProtection="1">
      <alignment horizontal="center" vertical="center"/>
      <protection/>
    </xf>
    <xf numFmtId="0" fontId="5" fillId="35" borderId="42" xfId="62" applyNumberFormat="1" applyFont="1" applyFill="1" applyBorder="1" applyAlignment="1" applyProtection="1">
      <alignment horizontal="center" vertical="center" wrapText="1"/>
      <protection/>
    </xf>
    <xf numFmtId="182" fontId="5" fillId="35" borderId="43" xfId="62" applyNumberFormat="1" applyFont="1" applyFill="1" applyBorder="1" applyAlignment="1" applyProtection="1">
      <alignment vertical="center"/>
      <protection/>
    </xf>
    <xf numFmtId="184" fontId="5" fillId="35" borderId="44" xfId="62" applyNumberFormat="1" applyFont="1" applyFill="1" applyBorder="1" applyAlignment="1" applyProtection="1">
      <alignment horizontal="center" vertical="center"/>
      <protection/>
    </xf>
    <xf numFmtId="184" fontId="6" fillId="0" borderId="45" xfId="62" applyNumberFormat="1" applyFont="1" applyFill="1" applyBorder="1" applyAlignment="1" applyProtection="1">
      <alignment horizontal="right" vertical="center"/>
      <protection/>
    </xf>
    <xf numFmtId="184" fontId="6" fillId="0" borderId="46" xfId="62" applyNumberFormat="1" applyFont="1" applyFill="1" applyBorder="1" applyAlignment="1" applyProtection="1">
      <alignment horizontal="right" vertical="center"/>
      <protection/>
    </xf>
    <xf numFmtId="185" fontId="6" fillId="0" borderId="46" xfId="62" applyNumberFormat="1" applyFont="1" applyFill="1" applyBorder="1" applyAlignment="1" applyProtection="1">
      <alignment horizontal="right" vertical="center"/>
      <protection/>
    </xf>
    <xf numFmtId="186" fontId="6" fillId="0" borderId="46" xfId="62" applyNumberFormat="1" applyFont="1" applyFill="1" applyBorder="1" applyAlignment="1" applyProtection="1">
      <alignment horizontal="right" vertical="center"/>
      <protection/>
    </xf>
    <xf numFmtId="187" fontId="6" fillId="0" borderId="46" xfId="62" applyNumberFormat="1" applyFont="1" applyFill="1" applyBorder="1" applyAlignment="1" applyProtection="1">
      <alignment vertical="center"/>
      <protection/>
    </xf>
    <xf numFmtId="184" fontId="6" fillId="0" borderId="46" xfId="62" applyNumberFormat="1" applyFont="1" applyFill="1" applyBorder="1" applyAlignment="1" applyProtection="1">
      <alignment vertical="center"/>
      <protection/>
    </xf>
    <xf numFmtId="181" fontId="6" fillId="0" borderId="46" xfId="62" applyNumberFormat="1" applyFont="1" applyFill="1" applyBorder="1" applyAlignment="1" applyProtection="1">
      <alignment vertical="center"/>
      <protection/>
    </xf>
    <xf numFmtId="181" fontId="6" fillId="0" borderId="47" xfId="62" applyNumberFormat="1" applyFont="1" applyFill="1" applyBorder="1" applyAlignment="1" applyProtection="1">
      <alignment vertical="center"/>
      <protection/>
    </xf>
    <xf numFmtId="184" fontId="0" fillId="0" borderId="45" xfId="0" applyNumberFormat="1" applyFont="1" applyFill="1" applyBorder="1" applyAlignment="1" applyProtection="1">
      <alignment vertical="center"/>
      <protection/>
    </xf>
    <xf numFmtId="184" fontId="0" fillId="0" borderId="46" xfId="0" applyNumberFormat="1" applyFont="1" applyFill="1" applyBorder="1" applyAlignment="1" applyProtection="1">
      <alignment vertical="center"/>
      <protection/>
    </xf>
    <xf numFmtId="0" fontId="0" fillId="0" borderId="46" xfId="0" applyNumberFormat="1" applyFont="1" applyFill="1" applyBorder="1" applyAlignment="1" applyProtection="1">
      <alignment vertical="center"/>
      <protection/>
    </xf>
    <xf numFmtId="6" fontId="6" fillId="0" borderId="46" xfId="62" applyNumberFormat="1" applyFont="1" applyFill="1" applyBorder="1" applyAlignment="1" applyProtection="1">
      <alignment horizontal="right" vertical="center"/>
      <protection/>
    </xf>
    <xf numFmtId="55" fontId="0" fillId="0" borderId="21" xfId="0" applyNumberFormat="1" applyFont="1" applyFill="1" applyBorder="1" applyAlignment="1" applyProtection="1">
      <alignment horizontal="center" vertical="center"/>
      <protection/>
    </xf>
    <xf numFmtId="5" fontId="1" fillId="0" borderId="48" xfId="0" applyNumberFormat="1" applyFont="1" applyFill="1" applyBorder="1" applyAlignment="1" applyProtection="1">
      <alignment vertical="center"/>
      <protection/>
    </xf>
    <xf numFmtId="184" fontId="1" fillId="0" borderId="49" xfId="0" applyNumberFormat="1" applyFont="1" applyFill="1" applyBorder="1" applyAlignment="1" applyProtection="1">
      <alignment vertical="center"/>
      <protection/>
    </xf>
    <xf numFmtId="6" fontId="1" fillId="0" borderId="49" xfId="0" applyNumberFormat="1" applyFont="1" applyFill="1" applyBorder="1" applyAlignment="1" applyProtection="1">
      <alignment vertical="center"/>
      <protection/>
    </xf>
    <xf numFmtId="186" fontId="1" fillId="0" borderId="49" xfId="0" applyNumberFormat="1" applyFont="1" applyFill="1" applyBorder="1" applyAlignment="1" applyProtection="1">
      <alignment vertical="center"/>
      <protection/>
    </xf>
    <xf numFmtId="185" fontId="1" fillId="0" borderId="49" xfId="0" applyNumberFormat="1" applyFont="1" applyFill="1" applyBorder="1" applyAlignment="1" applyProtection="1">
      <alignment vertical="center"/>
      <protection/>
    </xf>
    <xf numFmtId="187" fontId="7" fillId="0" borderId="49" xfId="0" applyNumberFormat="1" applyFont="1" applyFill="1" applyBorder="1" applyAlignment="1" applyProtection="1">
      <alignment vertical="center"/>
      <protection/>
    </xf>
    <xf numFmtId="0" fontId="0" fillId="0" borderId="50" xfId="0" applyNumberFormat="1" applyFont="1" applyFill="1" applyBorder="1" applyAlignment="1" applyProtection="1">
      <alignment vertical="center"/>
      <protection/>
    </xf>
    <xf numFmtId="0" fontId="8" fillId="0" borderId="47" xfId="0" applyNumberFormat="1" applyFont="1" applyFill="1" applyBorder="1" applyAlignment="1" applyProtection="1">
      <alignment vertical="center"/>
      <protection/>
    </xf>
    <xf numFmtId="0" fontId="5" fillId="36" borderId="0" xfId="62" applyNumberFormat="1" applyFont="1" applyFill="1" applyBorder="1" applyAlignment="1" applyProtection="1">
      <alignment vertical="center"/>
      <protection/>
    </xf>
    <xf numFmtId="5" fontId="5" fillId="36" borderId="0" xfId="62" applyNumberFormat="1" applyFont="1" applyFill="1" applyBorder="1" applyAlignment="1" applyProtection="1">
      <alignment horizontal="center" vertical="center"/>
      <protection/>
    </xf>
    <xf numFmtId="182" fontId="5" fillId="36" borderId="0" xfId="62" applyNumberFormat="1" applyFont="1" applyFill="1" applyBorder="1" applyAlignment="1" applyProtection="1">
      <alignment vertical="center"/>
      <protection/>
    </xf>
    <xf numFmtId="6" fontId="5" fillId="36" borderId="0" xfId="62" applyNumberFormat="1" applyFont="1" applyFill="1" applyBorder="1" applyAlignment="1" applyProtection="1">
      <alignment vertical="center"/>
      <protection/>
    </xf>
    <xf numFmtId="6" fontId="5" fillId="36" borderId="0" xfId="62" applyNumberFormat="1" applyFont="1" applyFill="1" applyBorder="1" applyAlignment="1" applyProtection="1">
      <alignment horizontal="center" vertical="center"/>
      <protection/>
    </xf>
    <xf numFmtId="0" fontId="0" fillId="36" borderId="0" xfId="0" applyNumberFormat="1" applyFont="1" applyFill="1" applyBorder="1" applyAlignment="1" applyProtection="1">
      <alignment vertical="center"/>
      <protection/>
    </xf>
    <xf numFmtId="0" fontId="5" fillId="36" borderId="51" xfId="62" applyNumberFormat="1" applyFont="1" applyFill="1" applyBorder="1" applyAlignment="1" applyProtection="1">
      <alignment vertical="center"/>
      <protection/>
    </xf>
    <xf numFmtId="5" fontId="5" fillId="36" borderId="51" xfId="62" applyNumberFormat="1" applyFont="1" applyFill="1" applyBorder="1" applyAlignment="1" applyProtection="1">
      <alignment horizontal="center" vertical="center"/>
      <protection/>
    </xf>
    <xf numFmtId="182" fontId="5" fillId="36" borderId="51" xfId="62" applyNumberFormat="1" applyFont="1" applyFill="1" applyBorder="1" applyAlignment="1" applyProtection="1">
      <alignment vertical="center"/>
      <protection/>
    </xf>
    <xf numFmtId="6" fontId="5" fillId="36" borderId="51" xfId="62" applyNumberFormat="1" applyFont="1" applyFill="1" applyBorder="1" applyAlignment="1" applyProtection="1">
      <alignment vertical="center"/>
      <protection/>
    </xf>
    <xf numFmtId="6" fontId="5" fillId="36" borderId="51" xfId="62" applyNumberFormat="1" applyFont="1" applyFill="1" applyBorder="1" applyAlignment="1" applyProtection="1">
      <alignment horizontal="center" vertical="center"/>
      <protection/>
    </xf>
    <xf numFmtId="0" fontId="0" fillId="36" borderId="51" xfId="0" applyNumberFormat="1" applyFont="1" applyFill="1" applyBorder="1" applyAlignment="1" applyProtection="1">
      <alignment vertical="center"/>
      <protection/>
    </xf>
    <xf numFmtId="0" fontId="0" fillId="0" borderId="51" xfId="0" applyNumberFormat="1" applyFont="1" applyFill="1" applyBorder="1" applyAlignment="1" applyProtection="1">
      <alignment vertical="center"/>
      <protection/>
    </xf>
    <xf numFmtId="0" fontId="0" fillId="0" borderId="52" xfId="0" applyNumberFormat="1" applyFont="1" applyFill="1" applyBorder="1" applyAlignment="1" applyProtection="1">
      <alignment vertical="center"/>
      <protection/>
    </xf>
    <xf numFmtId="5" fontId="6" fillId="37" borderId="52" xfId="62" applyNumberFormat="1" applyFont="1" applyFill="1" applyBorder="1" applyAlignment="1" applyProtection="1">
      <alignment horizontal="center"/>
      <protection/>
    </xf>
    <xf numFmtId="5" fontId="5" fillId="0" borderId="52" xfId="62" applyNumberFormat="1" applyFont="1" applyFill="1" applyBorder="1" applyAlignment="1" applyProtection="1">
      <alignment horizontal="center" vertical="center"/>
      <protection/>
    </xf>
    <xf numFmtId="0" fontId="5" fillId="0" borderId="52" xfId="62" applyNumberFormat="1" applyFont="1" applyFill="1" applyBorder="1" applyAlignment="1" applyProtection="1">
      <alignment/>
      <protection/>
    </xf>
    <xf numFmtId="5" fontId="6" fillId="37" borderId="20" xfId="62" applyNumberFormat="1" applyFont="1" applyFill="1" applyBorder="1" applyAlignment="1" applyProtection="1">
      <alignment horizontal="center"/>
      <protection/>
    </xf>
    <xf numFmtId="0" fontId="9" fillId="35" borderId="53" xfId="62" applyNumberFormat="1" applyFont="1" applyFill="1" applyBorder="1" applyAlignment="1" applyProtection="1">
      <alignment horizontal="center" vertical="center"/>
      <protection/>
    </xf>
    <xf numFmtId="5" fontId="9" fillId="36" borderId="51" xfId="62" applyNumberFormat="1" applyFont="1" applyFill="1" applyBorder="1" applyAlignment="1" applyProtection="1">
      <alignment horizontal="center" vertical="center"/>
      <protection/>
    </xf>
    <xf numFmtId="9" fontId="5" fillId="36" borderId="54" xfId="62" applyNumberFormat="1" applyFont="1" applyFill="1" applyBorder="1" applyAlignment="1" applyProtection="1">
      <alignment horizontal="center" vertical="center"/>
      <protection/>
    </xf>
    <xf numFmtId="5" fontId="6" fillId="37" borderId="55" xfId="62" applyNumberFormat="1" applyFont="1" applyFill="1" applyBorder="1" applyAlignment="1" applyProtection="1">
      <alignment horizontal="center"/>
      <protection/>
    </xf>
    <xf numFmtId="0" fontId="0" fillId="0" borderId="56" xfId="0" applyNumberFormat="1" applyFont="1" applyFill="1" applyBorder="1" applyAlignment="1" applyProtection="1">
      <alignment vertical="center"/>
      <protection/>
    </xf>
    <xf numFmtId="0" fontId="0" fillId="0" borderId="57" xfId="0" applyNumberFormat="1" applyFont="1" applyFill="1" applyBorder="1" applyAlignment="1" applyProtection="1">
      <alignment vertical="center"/>
      <protection/>
    </xf>
    <xf numFmtId="0" fontId="0" fillId="0" borderId="58" xfId="0" applyNumberFormat="1" applyFont="1" applyFill="1" applyBorder="1" applyAlignment="1" applyProtection="1">
      <alignment vertical="center"/>
      <protection/>
    </xf>
    <xf numFmtId="0" fontId="5" fillId="35" borderId="37" xfId="62"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0" fontId="0" fillId="0" borderId="59" xfId="0" applyNumberFormat="1" applyFont="1" applyFill="1" applyBorder="1" applyAlignment="1" applyProtection="1">
      <alignment vertical="center"/>
      <protection/>
    </xf>
    <xf numFmtId="0" fontId="0" fillId="34" borderId="39" xfId="0" applyNumberFormat="1" applyFont="1" applyFill="1" applyBorder="1" applyAlignment="1" applyProtection="1">
      <alignment vertical="center"/>
      <protection/>
    </xf>
    <xf numFmtId="0" fontId="1" fillId="0" borderId="0" xfId="63">
      <alignment vertical="center"/>
      <protection/>
    </xf>
    <xf numFmtId="0" fontId="1" fillId="0" borderId="60" xfId="63" applyBorder="1">
      <alignment vertical="center"/>
      <protection/>
    </xf>
    <xf numFmtId="0" fontId="1" fillId="0" borderId="61" xfId="63" applyBorder="1">
      <alignment vertical="center"/>
      <protection/>
    </xf>
    <xf numFmtId="0" fontId="1" fillId="0" borderId="62" xfId="63" applyBorder="1">
      <alignment vertical="center"/>
      <protection/>
    </xf>
    <xf numFmtId="0" fontId="1" fillId="0" borderId="63" xfId="63" applyBorder="1">
      <alignment vertical="center"/>
      <protection/>
    </xf>
    <xf numFmtId="0" fontId="1" fillId="0" borderId="0" xfId="63" applyBorder="1">
      <alignment vertical="center"/>
      <protection/>
    </xf>
    <xf numFmtId="0" fontId="0" fillId="0" borderId="0" xfId="0" applyFont="1" applyAlignment="1">
      <alignment vertical="center"/>
    </xf>
    <xf numFmtId="22" fontId="0" fillId="0" borderId="0" xfId="0" applyNumberFormat="1" applyAlignment="1">
      <alignment vertical="center"/>
    </xf>
    <xf numFmtId="0" fontId="0" fillId="38" borderId="0" xfId="0" applyFill="1" applyAlignment="1">
      <alignment vertical="center"/>
    </xf>
    <xf numFmtId="0" fontId="0" fillId="34" borderId="43" xfId="0" applyNumberFormat="1" applyFont="1" applyFill="1" applyBorder="1" applyAlignment="1" applyProtection="1">
      <alignment vertical="center"/>
      <protection/>
    </xf>
    <xf numFmtId="0" fontId="0" fillId="39" borderId="19" xfId="0" applyFill="1" applyBorder="1" applyAlignment="1">
      <alignment vertical="center"/>
    </xf>
    <xf numFmtId="0" fontId="0" fillId="39" borderId="19" xfId="0" applyFill="1" applyBorder="1" applyAlignment="1">
      <alignment vertical="center" wrapText="1"/>
    </xf>
    <xf numFmtId="0" fontId="0" fillId="39" borderId="19" xfId="0" applyNumberFormat="1" applyFont="1" applyFill="1" applyBorder="1" applyAlignment="1" applyProtection="1">
      <alignment vertical="center"/>
      <protection/>
    </xf>
    <xf numFmtId="0" fontId="0" fillId="28" borderId="19" xfId="0" applyNumberFormat="1" applyFont="1" applyFill="1" applyBorder="1" applyAlignment="1" applyProtection="1">
      <alignment vertical="center" wrapText="1"/>
      <protection/>
    </xf>
    <xf numFmtId="0" fontId="0" fillId="28" borderId="19" xfId="0" applyNumberFormat="1" applyFont="1" applyFill="1" applyBorder="1" applyAlignment="1" applyProtection="1">
      <alignment vertical="center"/>
      <protection/>
    </xf>
    <xf numFmtId="0" fontId="0" fillId="40" borderId="19" xfId="0" applyNumberFormat="1" applyFont="1" applyFill="1" applyBorder="1" applyAlignment="1" applyProtection="1">
      <alignment vertical="center"/>
      <protection/>
    </xf>
    <xf numFmtId="0" fontId="0" fillId="0" borderId="0" xfId="0" applyFont="1" applyAlignment="1">
      <alignment vertical="center"/>
    </xf>
    <xf numFmtId="0" fontId="48" fillId="41" borderId="0" xfId="0" applyFont="1" applyFill="1" applyAlignment="1">
      <alignment vertical="center" wrapText="1"/>
    </xf>
    <xf numFmtId="0" fontId="48" fillId="41" borderId="0" xfId="0" applyFont="1" applyFill="1" applyAlignment="1">
      <alignment vertical="center"/>
    </xf>
    <xf numFmtId="0" fontId="48" fillId="41" borderId="0" xfId="0" applyNumberFormat="1" applyFont="1" applyFill="1" applyBorder="1" applyAlignment="1" applyProtection="1">
      <alignment vertical="center"/>
      <protection/>
    </xf>
    <xf numFmtId="0" fontId="49" fillId="41" borderId="0" xfId="0" applyNumberFormat="1" applyFont="1" applyFill="1" applyBorder="1" applyAlignment="1" applyProtection="1">
      <alignment vertical="center"/>
      <protection/>
    </xf>
    <xf numFmtId="5" fontId="48" fillId="41" borderId="0" xfId="0" applyNumberFormat="1" applyFont="1" applyFill="1" applyAlignment="1">
      <alignment vertical="center"/>
    </xf>
    <xf numFmtId="9" fontId="48" fillId="41" borderId="0" xfId="0" applyNumberFormat="1" applyFont="1" applyFill="1" applyAlignment="1">
      <alignment vertical="center"/>
    </xf>
    <xf numFmtId="0" fontId="0" fillId="40" borderId="19" xfId="0" applyNumberFormat="1" applyFont="1" applyFill="1" applyBorder="1" applyAlignment="1" applyProtection="1">
      <alignment vertical="center" wrapText="1"/>
      <protection/>
    </xf>
    <xf numFmtId="0" fontId="0" fillId="0" borderId="0" xfId="0" applyNumberFormat="1" applyAlignment="1">
      <alignment vertical="center"/>
    </xf>
    <xf numFmtId="0" fontId="3" fillId="0" borderId="0" xfId="0" applyFont="1" applyAlignment="1">
      <alignment vertical="center"/>
    </xf>
    <xf numFmtId="0" fontId="0" fillId="0" borderId="0" xfId="0" applyAlignment="1">
      <alignment horizontal="left" vertical="center" indent="1"/>
    </xf>
    <xf numFmtId="14" fontId="0" fillId="0" borderId="0" xfId="0" applyNumberFormat="1" applyFont="1" applyAlignment="1">
      <alignment vertical="center"/>
    </xf>
    <xf numFmtId="14" fontId="0" fillId="0" borderId="0" xfId="0" applyNumberFormat="1" applyAlignment="1">
      <alignment vertical="center"/>
    </xf>
    <xf numFmtId="0" fontId="0" fillId="0" borderId="0" xfId="0" applyAlignment="1">
      <alignment horizontal="left" vertical="center"/>
    </xf>
    <xf numFmtId="0" fontId="48" fillId="41" borderId="0" xfId="0" applyNumberFormat="1" applyFont="1" applyFill="1" applyAlignment="1">
      <alignment vertical="center"/>
    </xf>
    <xf numFmtId="7" fontId="0" fillId="0" borderId="0" xfId="0" applyNumberFormat="1" applyFont="1" applyAlignment="1">
      <alignment vertical="center"/>
    </xf>
    <xf numFmtId="0" fontId="0" fillId="38" borderId="0" xfId="0" applyFill="1" applyAlignment="1">
      <alignment horizontal="left" vertical="center"/>
    </xf>
    <xf numFmtId="0" fontId="1" fillId="0" borderId="0" xfId="63" applyFont="1">
      <alignment vertical="center"/>
      <protection/>
    </xf>
    <xf numFmtId="0" fontId="1" fillId="0" borderId="0" xfId="63" applyFont="1" applyFill="1" applyBorder="1">
      <alignment vertical="center"/>
      <protection/>
    </xf>
    <xf numFmtId="195" fontId="48" fillId="41" borderId="0" xfId="0" applyNumberFormat="1" applyFont="1" applyFill="1" applyAlignment="1">
      <alignment vertical="center"/>
    </xf>
    <xf numFmtId="0" fontId="0" fillId="34" borderId="0" xfId="0" applyNumberFormat="1" applyFont="1" applyFill="1" applyBorder="1" applyAlignment="1" applyProtection="1">
      <alignment vertical="center" wrapText="1"/>
      <protection/>
    </xf>
    <xf numFmtId="5" fontId="0" fillId="0" borderId="0" xfId="0" applyNumberFormat="1" applyAlignment="1">
      <alignment vertical="center"/>
    </xf>
    <xf numFmtId="196" fontId="0" fillId="0" borderId="0" xfId="0" applyNumberFormat="1" applyFont="1" applyAlignment="1">
      <alignment vertical="center"/>
    </xf>
    <xf numFmtId="14" fontId="0" fillId="38" borderId="0" xfId="0" applyNumberFormat="1" applyFill="1" applyAlignment="1">
      <alignment vertical="center"/>
    </xf>
    <xf numFmtId="7" fontId="0" fillId="0" borderId="0" xfId="0" applyNumberFormat="1" applyAlignment="1">
      <alignment vertical="center"/>
    </xf>
    <xf numFmtId="0" fontId="50" fillId="42" borderId="0" xfId="0" applyNumberFormat="1" applyFont="1" applyFill="1" applyBorder="1" applyAlignment="1" applyProtection="1">
      <alignment vertical="center"/>
      <protection/>
    </xf>
    <xf numFmtId="0" fontId="50" fillId="42" borderId="0" xfId="0" applyNumberFormat="1" applyFont="1" applyFill="1" applyBorder="1" applyAlignment="1" applyProtection="1">
      <alignment vertical="center" wrapText="1"/>
      <protection/>
    </xf>
    <xf numFmtId="0" fontId="0" fillId="42" borderId="0" xfId="0" applyFill="1" applyAlignment="1">
      <alignment vertical="center"/>
    </xf>
    <xf numFmtId="5" fontId="0" fillId="42" borderId="0" xfId="0" applyNumberFormat="1" applyFill="1" applyAlignment="1">
      <alignment vertical="center"/>
    </xf>
    <xf numFmtId="7" fontId="0" fillId="42" borderId="0" xfId="0" applyNumberFormat="1" applyFill="1" applyAlignment="1">
      <alignment vertical="center"/>
    </xf>
    <xf numFmtId="184" fontId="1" fillId="0" borderId="64" xfId="0" applyNumberFormat="1" applyFont="1" applyFill="1" applyBorder="1" applyAlignment="1" applyProtection="1">
      <alignment vertical="center"/>
      <protection/>
    </xf>
    <xf numFmtId="181" fontId="6" fillId="0" borderId="65" xfId="62" applyNumberFormat="1" applyFont="1" applyFill="1" applyBorder="1" applyAlignment="1" applyProtection="1">
      <alignment vertical="center"/>
      <protection/>
    </xf>
    <xf numFmtId="181" fontId="6" fillId="0" borderId="50" xfId="62" applyNumberFormat="1" applyFont="1" applyFill="1" applyBorder="1" applyAlignment="1" applyProtection="1">
      <alignment vertical="center"/>
      <protection/>
    </xf>
    <xf numFmtId="181" fontId="1" fillId="0" borderId="19" xfId="0" applyNumberFormat="1" applyFont="1" applyFill="1" applyBorder="1" applyAlignment="1" applyProtection="1">
      <alignment vertical="center"/>
      <protection/>
    </xf>
    <xf numFmtId="9" fontId="0" fillId="0" borderId="0" xfId="0" applyNumberFormat="1" applyAlignment="1">
      <alignment vertical="center"/>
    </xf>
    <xf numFmtId="0" fontId="0" fillId="0" borderId="0" xfId="0" applyNumberFormat="1" applyFont="1" applyAlignment="1">
      <alignment vertical="center"/>
    </xf>
    <xf numFmtId="183" fontId="0" fillId="28" borderId="19" xfId="0" applyNumberFormat="1" applyFont="1" applyFill="1" applyBorder="1" applyAlignment="1" applyProtection="1">
      <alignment vertical="center"/>
      <protection/>
    </xf>
    <xf numFmtId="183" fontId="0" fillId="0" borderId="0" xfId="0" applyNumberFormat="1" applyFont="1" applyAlignment="1">
      <alignment vertical="center"/>
    </xf>
    <xf numFmtId="183" fontId="0" fillId="0" borderId="0" xfId="0" applyNumberFormat="1" applyAlignment="1">
      <alignment vertical="center"/>
    </xf>
    <xf numFmtId="0" fontId="0" fillId="34" borderId="0" xfId="0" applyNumberFormat="1" applyFont="1" applyFill="1" applyBorder="1" applyAlignment="1" applyProtection="1">
      <alignment vertical="center"/>
      <protection/>
    </xf>
    <xf numFmtId="197" fontId="0" fillId="0" borderId="0" xfId="0" applyNumberFormat="1" applyAlignment="1">
      <alignment vertical="center"/>
    </xf>
    <xf numFmtId="0" fontId="0" fillId="0" borderId="19" xfId="0" applyBorder="1" applyAlignment="1">
      <alignment vertical="center"/>
    </xf>
    <xf numFmtId="0" fontId="0" fillId="28" borderId="19" xfId="0" applyFill="1" applyBorder="1" applyAlignment="1">
      <alignment vertical="center" wrapText="1"/>
    </xf>
    <xf numFmtId="0" fontId="0" fillId="28" borderId="19" xfId="0" applyFill="1" applyBorder="1" applyAlignment="1">
      <alignment vertical="center"/>
    </xf>
    <xf numFmtId="0" fontId="0" fillId="4" borderId="19" xfId="0" applyFill="1" applyBorder="1" applyAlignment="1">
      <alignment vertical="center"/>
    </xf>
    <xf numFmtId="0" fontId="0" fillId="5" borderId="19" xfId="0" applyFill="1" applyBorder="1" applyAlignment="1">
      <alignment vertical="center"/>
    </xf>
    <xf numFmtId="0" fontId="0" fillId="6" borderId="19" xfId="0" applyFill="1" applyBorder="1" applyAlignment="1">
      <alignment vertical="center"/>
    </xf>
    <xf numFmtId="0" fontId="0" fillId="7" borderId="19" xfId="0" applyFill="1" applyBorder="1" applyAlignment="1">
      <alignment vertical="center"/>
    </xf>
    <xf numFmtId="0" fontId="0" fillId="3" borderId="19" xfId="0" applyFill="1" applyBorder="1" applyAlignment="1">
      <alignment vertical="center"/>
    </xf>
    <xf numFmtId="56" fontId="0" fillId="0" borderId="19" xfId="0" applyNumberFormat="1" applyBorder="1" applyAlignment="1">
      <alignment vertical="center"/>
    </xf>
    <xf numFmtId="0" fontId="0" fillId="0" borderId="0" xfId="0" applyNumberFormat="1" applyFill="1" applyBorder="1" applyAlignment="1">
      <alignment vertical="center"/>
    </xf>
    <xf numFmtId="56" fontId="0" fillId="0" borderId="0" xfId="0" applyNumberFormat="1" applyAlignment="1">
      <alignment vertical="center"/>
    </xf>
    <xf numFmtId="5" fontId="6" fillId="37" borderId="22" xfId="62" applyNumberFormat="1" applyFont="1" applyFill="1" applyBorder="1" applyAlignment="1" applyProtection="1">
      <alignment horizontal="center"/>
      <protection/>
    </xf>
    <xf numFmtId="5" fontId="6" fillId="37" borderId="54" xfId="62" applyNumberFormat="1" applyFont="1" applyFill="1" applyBorder="1" applyAlignment="1" applyProtection="1">
      <alignment horizontal="center"/>
      <protection/>
    </xf>
    <xf numFmtId="5" fontId="6" fillId="37" borderId="47" xfId="62" applyNumberFormat="1" applyFont="1" applyFill="1" applyBorder="1" applyAlignment="1" applyProtection="1">
      <alignment horizontal="center"/>
      <protection/>
    </xf>
    <xf numFmtId="5" fontId="6" fillId="37" borderId="56" xfId="62" applyNumberFormat="1" applyFont="1" applyFill="1" applyBorder="1" applyAlignment="1" applyProtection="1">
      <alignment horizontal="center"/>
      <protection/>
    </xf>
    <xf numFmtId="5" fontId="6" fillId="37" borderId="66" xfId="62" applyNumberFormat="1" applyFont="1" applyFill="1" applyBorder="1" applyAlignment="1" applyProtection="1">
      <alignment horizontal="center"/>
      <protection/>
    </xf>
    <xf numFmtId="5" fontId="10" fillId="0" borderId="20" xfId="62" applyNumberFormat="1" applyFont="1" applyFill="1" applyBorder="1" applyAlignment="1" applyProtection="1">
      <alignment horizontal="center" vertical="center"/>
      <protection/>
    </xf>
    <xf numFmtId="188" fontId="5" fillId="0" borderId="29" xfId="62" applyNumberFormat="1" applyFont="1" applyFill="1" applyBorder="1" applyAlignment="1" applyProtection="1">
      <alignment horizontal="center" vertical="center"/>
      <protection/>
    </xf>
    <xf numFmtId="188" fontId="5" fillId="0" borderId="39" xfId="62" applyNumberFormat="1" applyFont="1" applyFill="1" applyBorder="1" applyAlignment="1" applyProtection="1">
      <alignment horizontal="center" vertical="center"/>
      <protection/>
    </xf>
    <xf numFmtId="5" fontId="5" fillId="0" borderId="66" xfId="62" applyNumberFormat="1" applyFont="1" applyFill="1" applyBorder="1" applyAlignment="1" applyProtection="1">
      <alignment horizontal="center" vertical="center"/>
      <protection/>
    </xf>
    <xf numFmtId="5" fontId="5" fillId="0" borderId="67" xfId="62" applyNumberFormat="1" applyFont="1" applyFill="1" applyBorder="1" applyAlignment="1" applyProtection="1">
      <alignment horizontal="center" vertical="center"/>
      <protection/>
    </xf>
    <xf numFmtId="0" fontId="4" fillId="33" borderId="68" xfId="0" applyNumberFormat="1" applyFont="1" applyFill="1" applyBorder="1" applyAlignment="1" applyProtection="1">
      <alignment horizontal="center" vertical="center"/>
      <protection/>
    </xf>
    <xf numFmtId="0" fontId="4" fillId="33" borderId="39" xfId="0" applyNumberFormat="1" applyFont="1" applyFill="1" applyBorder="1" applyAlignment="1" applyProtection="1">
      <alignment horizontal="center" vertical="center"/>
      <protection/>
    </xf>
    <xf numFmtId="0" fontId="4" fillId="33" borderId="37" xfId="0" applyNumberFormat="1" applyFont="1" applyFill="1" applyBorder="1" applyAlignment="1" applyProtection="1">
      <alignment horizontal="center" vertical="center"/>
      <protection/>
    </xf>
    <xf numFmtId="0" fontId="4" fillId="33" borderId="28" xfId="0" applyNumberFormat="1" applyFont="1" applyFill="1" applyBorder="1" applyAlignment="1" applyProtection="1">
      <alignment horizontal="center" vertical="center"/>
      <protection/>
    </xf>
    <xf numFmtId="0" fontId="0" fillId="28" borderId="19" xfId="0" applyFill="1" applyBorder="1" applyAlignment="1">
      <alignment horizontal="center" vertical="center" wrapText="1"/>
    </xf>
    <xf numFmtId="0" fontId="0" fillId="28" borderId="19" xfId="0" applyFill="1" applyBorder="1" applyAlignment="1">
      <alignment horizontal="center" vertical="center"/>
    </xf>
    <xf numFmtId="0" fontId="0" fillId="40" borderId="19" xfId="0" applyFill="1" applyBorder="1" applyAlignment="1">
      <alignment horizontal="center" vertical="center"/>
    </xf>
    <xf numFmtId="0" fontId="0" fillId="39" borderId="22" xfId="0" applyFill="1" applyBorder="1" applyAlignment="1">
      <alignment horizontal="center" vertical="center"/>
    </xf>
    <xf numFmtId="0" fontId="0" fillId="39" borderId="54" xfId="0" applyFill="1" applyBorder="1" applyAlignment="1">
      <alignment horizontal="center" vertical="center"/>
    </xf>
    <xf numFmtId="0" fontId="0" fillId="39" borderId="47" xfId="0" applyFill="1" applyBorder="1" applyAlignment="1">
      <alignment horizontal="center" vertical="center"/>
    </xf>
    <xf numFmtId="0" fontId="0" fillId="28" borderId="19" xfId="0" applyFill="1" applyBorder="1" applyAlignment="1">
      <alignment vertical="center"/>
    </xf>
    <xf numFmtId="0" fontId="0" fillId="0" borderId="19" xfId="0" applyBorder="1" applyAlignment="1">
      <alignment vertical="center" wrapText="1"/>
    </xf>
    <xf numFmtId="0" fontId="0" fillId="4" borderId="19" xfId="0" applyFill="1" applyBorder="1" applyAlignment="1">
      <alignment vertical="center"/>
    </xf>
    <xf numFmtId="0" fontId="0" fillId="5" borderId="19" xfId="0" applyFill="1" applyBorder="1" applyAlignment="1">
      <alignment vertical="center"/>
    </xf>
    <xf numFmtId="0" fontId="0" fillId="6" borderId="19" xfId="0" applyFill="1" applyBorder="1" applyAlignment="1">
      <alignment vertical="center"/>
    </xf>
    <xf numFmtId="0" fontId="0" fillId="7" borderId="22" xfId="0" applyFill="1" applyBorder="1" applyAlignment="1">
      <alignment vertical="center"/>
    </xf>
    <xf numFmtId="0" fontId="0" fillId="7" borderId="54" xfId="0" applyFill="1" applyBorder="1" applyAlignment="1">
      <alignment vertical="center"/>
    </xf>
    <xf numFmtId="0" fontId="0" fillId="7" borderId="47" xfId="0" applyFill="1" applyBorder="1" applyAlignment="1">
      <alignment vertical="center"/>
    </xf>
    <xf numFmtId="0" fontId="0" fillId="0" borderId="0" xfId="0" applyNumberFormat="1" applyFont="1" applyAlignment="1">
      <alignment vertical="center"/>
    </xf>
    <xf numFmtId="185" fontId="0" fillId="0" borderId="46" xfId="0" applyNumberFormat="1" applyFont="1" applyFill="1" applyBorder="1" applyAlignment="1" applyProtection="1">
      <alignment vertical="center"/>
      <protection/>
    </xf>
    <xf numFmtId="186" fontId="0" fillId="0" borderId="46" xfId="0" applyNumberFormat="1" applyFont="1" applyFill="1" applyBorder="1" applyAlignment="1" applyProtection="1">
      <alignment vertical="center"/>
      <protection/>
    </xf>
    <xf numFmtId="5" fontId="6" fillId="0" borderId="46" xfId="62" applyNumberFormat="1" applyFont="1" applyFill="1" applyBorder="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気づき"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3</xdr:row>
      <xdr:rowOff>28575</xdr:rowOff>
    </xdr:from>
    <xdr:to>
      <xdr:col>8</xdr:col>
      <xdr:colOff>371475</xdr:colOff>
      <xdr:row>22</xdr:row>
      <xdr:rowOff>47625</xdr:rowOff>
    </xdr:to>
    <xdr:pic>
      <xdr:nvPicPr>
        <xdr:cNvPr id="1" name="図 1"/>
        <xdr:cNvPicPr preferRelativeResize="1">
          <a:picLocks noChangeAspect="1"/>
        </xdr:cNvPicPr>
      </xdr:nvPicPr>
      <xdr:blipFill>
        <a:blip r:embed="rId1"/>
        <a:stretch>
          <a:fillRect/>
        </a:stretch>
      </xdr:blipFill>
      <xdr:spPr>
        <a:xfrm>
          <a:off x="4200525" y="542925"/>
          <a:ext cx="1581150" cy="3276600"/>
        </a:xfrm>
        <a:prstGeom prst="rect">
          <a:avLst/>
        </a:prstGeom>
        <a:noFill/>
        <a:ln w="9525" cmpd="sng">
          <a:noFill/>
        </a:ln>
      </xdr:spPr>
    </xdr:pic>
    <xdr:clientData/>
  </xdr:twoCellAnchor>
  <xdr:twoCellAnchor editAs="oneCell">
    <xdr:from>
      <xdr:col>0</xdr:col>
      <xdr:colOff>38100</xdr:colOff>
      <xdr:row>3</xdr:row>
      <xdr:rowOff>114300</xdr:rowOff>
    </xdr:from>
    <xdr:to>
      <xdr:col>1</xdr:col>
      <xdr:colOff>657225</xdr:colOff>
      <xdr:row>23</xdr:row>
      <xdr:rowOff>95250</xdr:rowOff>
    </xdr:to>
    <xdr:pic>
      <xdr:nvPicPr>
        <xdr:cNvPr id="2" name="図 2"/>
        <xdr:cNvPicPr preferRelativeResize="1">
          <a:picLocks noChangeAspect="1"/>
        </xdr:cNvPicPr>
      </xdr:nvPicPr>
      <xdr:blipFill>
        <a:blip r:embed="rId2"/>
        <a:stretch>
          <a:fillRect/>
        </a:stretch>
      </xdr:blipFill>
      <xdr:spPr>
        <a:xfrm>
          <a:off x="38100" y="628650"/>
          <a:ext cx="1295400" cy="3409950"/>
        </a:xfrm>
        <a:prstGeom prst="rect">
          <a:avLst/>
        </a:prstGeom>
        <a:noFill/>
        <a:ln w="9525" cmpd="sng">
          <a:noFill/>
        </a:ln>
      </xdr:spPr>
    </xdr:pic>
    <xdr:clientData/>
  </xdr:twoCellAnchor>
  <xdr:twoCellAnchor editAs="oneCell">
    <xdr:from>
      <xdr:col>15</xdr:col>
      <xdr:colOff>0</xdr:colOff>
      <xdr:row>2</xdr:row>
      <xdr:rowOff>0</xdr:rowOff>
    </xdr:from>
    <xdr:to>
      <xdr:col>19</xdr:col>
      <xdr:colOff>371475</xdr:colOff>
      <xdr:row>31</xdr:row>
      <xdr:rowOff>161925</xdr:rowOff>
    </xdr:to>
    <xdr:pic>
      <xdr:nvPicPr>
        <xdr:cNvPr id="3" name="図 3"/>
        <xdr:cNvPicPr preferRelativeResize="1">
          <a:picLocks noChangeAspect="1"/>
        </xdr:cNvPicPr>
      </xdr:nvPicPr>
      <xdr:blipFill>
        <a:blip r:embed="rId3"/>
        <a:stretch>
          <a:fillRect/>
        </a:stretch>
      </xdr:blipFill>
      <xdr:spPr>
        <a:xfrm>
          <a:off x="10144125" y="342900"/>
          <a:ext cx="3076575" cy="5133975"/>
        </a:xfrm>
        <a:prstGeom prst="rect">
          <a:avLst/>
        </a:prstGeom>
        <a:noFill/>
        <a:ln w="9525" cmpd="sng">
          <a:noFill/>
        </a:ln>
      </xdr:spPr>
    </xdr:pic>
    <xdr:clientData/>
  </xdr:twoCellAnchor>
  <xdr:twoCellAnchor editAs="oneCell">
    <xdr:from>
      <xdr:col>0</xdr:col>
      <xdr:colOff>0</xdr:colOff>
      <xdr:row>40</xdr:row>
      <xdr:rowOff>76200</xdr:rowOff>
    </xdr:from>
    <xdr:to>
      <xdr:col>11</xdr:col>
      <xdr:colOff>657225</xdr:colOff>
      <xdr:row>73</xdr:row>
      <xdr:rowOff>9525</xdr:rowOff>
    </xdr:to>
    <xdr:pic>
      <xdr:nvPicPr>
        <xdr:cNvPr id="4" name="図 1"/>
        <xdr:cNvPicPr preferRelativeResize="1">
          <a:picLocks noChangeAspect="1"/>
        </xdr:cNvPicPr>
      </xdr:nvPicPr>
      <xdr:blipFill>
        <a:blip r:embed="rId4"/>
        <a:stretch>
          <a:fillRect/>
        </a:stretch>
      </xdr:blipFill>
      <xdr:spPr>
        <a:xfrm>
          <a:off x="0" y="6934200"/>
          <a:ext cx="8096250" cy="5591175"/>
        </a:xfrm>
        <a:prstGeom prst="rect">
          <a:avLst/>
        </a:prstGeom>
        <a:noFill/>
        <a:ln w="9525" cmpd="sng">
          <a:noFill/>
        </a:ln>
      </xdr:spPr>
    </xdr:pic>
    <xdr:clientData/>
  </xdr:twoCellAnchor>
  <xdr:twoCellAnchor editAs="oneCell">
    <xdr:from>
      <xdr:col>0</xdr:col>
      <xdr:colOff>0</xdr:colOff>
      <xdr:row>75</xdr:row>
      <xdr:rowOff>0</xdr:rowOff>
    </xdr:from>
    <xdr:to>
      <xdr:col>11</xdr:col>
      <xdr:colOff>666750</xdr:colOff>
      <xdr:row>106</xdr:row>
      <xdr:rowOff>0</xdr:rowOff>
    </xdr:to>
    <xdr:pic>
      <xdr:nvPicPr>
        <xdr:cNvPr id="5" name="図 2"/>
        <xdr:cNvPicPr preferRelativeResize="1">
          <a:picLocks noChangeAspect="1"/>
        </xdr:cNvPicPr>
      </xdr:nvPicPr>
      <xdr:blipFill>
        <a:blip r:embed="rId5"/>
        <a:stretch>
          <a:fillRect/>
        </a:stretch>
      </xdr:blipFill>
      <xdr:spPr>
        <a:xfrm>
          <a:off x="0" y="12858750"/>
          <a:ext cx="8105775" cy="5314950"/>
        </a:xfrm>
        <a:prstGeom prst="rect">
          <a:avLst/>
        </a:prstGeom>
        <a:noFill/>
        <a:ln w="9525" cmpd="sng">
          <a:noFill/>
        </a:ln>
      </xdr:spPr>
    </xdr:pic>
    <xdr:clientData/>
  </xdr:twoCellAnchor>
  <xdr:twoCellAnchor editAs="oneCell">
    <xdr:from>
      <xdr:col>0</xdr:col>
      <xdr:colOff>0</xdr:colOff>
      <xdr:row>108</xdr:row>
      <xdr:rowOff>0</xdr:rowOff>
    </xdr:from>
    <xdr:to>
      <xdr:col>12</xdr:col>
      <xdr:colOff>0</xdr:colOff>
      <xdr:row>139</xdr:row>
      <xdr:rowOff>38100</xdr:rowOff>
    </xdr:to>
    <xdr:pic>
      <xdr:nvPicPr>
        <xdr:cNvPr id="6" name="図 3"/>
        <xdr:cNvPicPr preferRelativeResize="1">
          <a:picLocks noChangeAspect="1"/>
        </xdr:cNvPicPr>
      </xdr:nvPicPr>
      <xdr:blipFill>
        <a:blip r:embed="rId6"/>
        <a:stretch>
          <a:fillRect/>
        </a:stretch>
      </xdr:blipFill>
      <xdr:spPr>
        <a:xfrm>
          <a:off x="0" y="18516600"/>
          <a:ext cx="8115300" cy="5353050"/>
        </a:xfrm>
        <a:prstGeom prst="rect">
          <a:avLst/>
        </a:prstGeom>
        <a:noFill/>
        <a:ln w="9525" cmpd="sng">
          <a:noFill/>
        </a:ln>
      </xdr:spPr>
    </xdr:pic>
    <xdr:clientData/>
  </xdr:twoCellAnchor>
  <xdr:twoCellAnchor editAs="oneCell">
    <xdr:from>
      <xdr:col>0</xdr:col>
      <xdr:colOff>0</xdr:colOff>
      <xdr:row>141</xdr:row>
      <xdr:rowOff>57150</xdr:rowOff>
    </xdr:from>
    <xdr:to>
      <xdr:col>11</xdr:col>
      <xdr:colOff>638175</xdr:colOff>
      <xdr:row>172</xdr:row>
      <xdr:rowOff>95250</xdr:rowOff>
    </xdr:to>
    <xdr:pic>
      <xdr:nvPicPr>
        <xdr:cNvPr id="7" name="図 4"/>
        <xdr:cNvPicPr preferRelativeResize="1">
          <a:picLocks noChangeAspect="1"/>
        </xdr:cNvPicPr>
      </xdr:nvPicPr>
      <xdr:blipFill>
        <a:blip r:embed="rId7"/>
        <a:stretch>
          <a:fillRect/>
        </a:stretch>
      </xdr:blipFill>
      <xdr:spPr>
        <a:xfrm>
          <a:off x="0" y="24231600"/>
          <a:ext cx="8077200" cy="5353050"/>
        </a:xfrm>
        <a:prstGeom prst="rect">
          <a:avLst/>
        </a:prstGeom>
        <a:noFill/>
        <a:ln w="9525" cmpd="sng">
          <a:noFill/>
        </a:ln>
      </xdr:spPr>
    </xdr:pic>
    <xdr:clientData/>
  </xdr:twoCellAnchor>
  <xdr:twoCellAnchor editAs="oneCell">
    <xdr:from>
      <xdr:col>0</xdr:col>
      <xdr:colOff>0</xdr:colOff>
      <xdr:row>175</xdr:row>
      <xdr:rowOff>0</xdr:rowOff>
    </xdr:from>
    <xdr:to>
      <xdr:col>14</xdr:col>
      <xdr:colOff>323850</xdr:colOff>
      <xdr:row>213</xdr:row>
      <xdr:rowOff>123825</xdr:rowOff>
    </xdr:to>
    <xdr:pic>
      <xdr:nvPicPr>
        <xdr:cNvPr id="8" name="図 5"/>
        <xdr:cNvPicPr preferRelativeResize="1">
          <a:picLocks noChangeAspect="1"/>
        </xdr:cNvPicPr>
      </xdr:nvPicPr>
      <xdr:blipFill>
        <a:blip r:embed="rId8"/>
        <a:stretch>
          <a:fillRect/>
        </a:stretch>
      </xdr:blipFill>
      <xdr:spPr>
        <a:xfrm>
          <a:off x="0" y="30003750"/>
          <a:ext cx="9791700" cy="6638925"/>
        </a:xfrm>
        <a:prstGeom prst="rect">
          <a:avLst/>
        </a:prstGeom>
        <a:noFill/>
        <a:ln w="9525" cmpd="sng">
          <a:noFill/>
        </a:ln>
      </xdr:spPr>
    </xdr:pic>
    <xdr:clientData/>
  </xdr:twoCellAnchor>
  <xdr:twoCellAnchor editAs="oneCell">
    <xdr:from>
      <xdr:col>0</xdr:col>
      <xdr:colOff>0</xdr:colOff>
      <xdr:row>216</xdr:row>
      <xdr:rowOff>19050</xdr:rowOff>
    </xdr:from>
    <xdr:to>
      <xdr:col>14</xdr:col>
      <xdr:colOff>219075</xdr:colOff>
      <xdr:row>254</xdr:row>
      <xdr:rowOff>142875</xdr:rowOff>
    </xdr:to>
    <xdr:pic>
      <xdr:nvPicPr>
        <xdr:cNvPr id="9" name="図 6"/>
        <xdr:cNvPicPr preferRelativeResize="1">
          <a:picLocks noChangeAspect="1"/>
        </xdr:cNvPicPr>
      </xdr:nvPicPr>
      <xdr:blipFill>
        <a:blip r:embed="rId9"/>
        <a:stretch>
          <a:fillRect/>
        </a:stretch>
      </xdr:blipFill>
      <xdr:spPr>
        <a:xfrm>
          <a:off x="0" y="37052250"/>
          <a:ext cx="9686925" cy="6638925"/>
        </a:xfrm>
        <a:prstGeom prst="rect">
          <a:avLst/>
        </a:prstGeom>
        <a:noFill/>
        <a:ln w="9525" cmpd="sng">
          <a:noFill/>
        </a:ln>
      </xdr:spPr>
    </xdr:pic>
    <xdr:clientData/>
  </xdr:twoCellAnchor>
  <xdr:twoCellAnchor editAs="oneCell">
    <xdr:from>
      <xdr:col>0</xdr:col>
      <xdr:colOff>0</xdr:colOff>
      <xdr:row>257</xdr:row>
      <xdr:rowOff>0</xdr:rowOff>
    </xdr:from>
    <xdr:to>
      <xdr:col>14</xdr:col>
      <xdr:colOff>285750</xdr:colOff>
      <xdr:row>295</xdr:row>
      <xdr:rowOff>47625</xdr:rowOff>
    </xdr:to>
    <xdr:pic>
      <xdr:nvPicPr>
        <xdr:cNvPr id="10" name="図 7"/>
        <xdr:cNvPicPr preferRelativeResize="1">
          <a:picLocks noChangeAspect="1"/>
        </xdr:cNvPicPr>
      </xdr:nvPicPr>
      <xdr:blipFill>
        <a:blip r:embed="rId10"/>
        <a:stretch>
          <a:fillRect/>
        </a:stretch>
      </xdr:blipFill>
      <xdr:spPr>
        <a:xfrm>
          <a:off x="0" y="44062650"/>
          <a:ext cx="9753600" cy="6562725"/>
        </a:xfrm>
        <a:prstGeom prst="rect">
          <a:avLst/>
        </a:prstGeom>
        <a:noFill/>
        <a:ln w="9525" cmpd="sng">
          <a:noFill/>
        </a:ln>
      </xdr:spPr>
    </xdr:pic>
    <xdr:clientData/>
  </xdr:twoCellAnchor>
  <xdr:twoCellAnchor editAs="oneCell">
    <xdr:from>
      <xdr:col>0</xdr:col>
      <xdr:colOff>0</xdr:colOff>
      <xdr:row>298</xdr:row>
      <xdr:rowOff>0</xdr:rowOff>
    </xdr:from>
    <xdr:to>
      <xdr:col>14</xdr:col>
      <xdr:colOff>190500</xdr:colOff>
      <xdr:row>329</xdr:row>
      <xdr:rowOff>66675</xdr:rowOff>
    </xdr:to>
    <xdr:pic>
      <xdr:nvPicPr>
        <xdr:cNvPr id="11" name="図 8"/>
        <xdr:cNvPicPr preferRelativeResize="1">
          <a:picLocks noChangeAspect="1"/>
        </xdr:cNvPicPr>
      </xdr:nvPicPr>
      <xdr:blipFill>
        <a:blip r:embed="rId11"/>
        <a:stretch>
          <a:fillRect/>
        </a:stretch>
      </xdr:blipFill>
      <xdr:spPr>
        <a:xfrm>
          <a:off x="0" y="51092100"/>
          <a:ext cx="9658350" cy="5381625"/>
        </a:xfrm>
        <a:prstGeom prst="rect">
          <a:avLst/>
        </a:prstGeom>
        <a:noFill/>
        <a:ln w="9525" cmpd="sng">
          <a:noFill/>
        </a:ln>
      </xdr:spPr>
    </xdr:pic>
    <xdr:clientData/>
  </xdr:twoCellAnchor>
  <xdr:twoCellAnchor editAs="oneCell">
    <xdr:from>
      <xdr:col>0</xdr:col>
      <xdr:colOff>0</xdr:colOff>
      <xdr:row>332</xdr:row>
      <xdr:rowOff>0</xdr:rowOff>
    </xdr:from>
    <xdr:to>
      <xdr:col>14</xdr:col>
      <xdr:colOff>381000</xdr:colOff>
      <xdr:row>363</xdr:row>
      <xdr:rowOff>19050</xdr:rowOff>
    </xdr:to>
    <xdr:pic>
      <xdr:nvPicPr>
        <xdr:cNvPr id="12" name="図 9"/>
        <xdr:cNvPicPr preferRelativeResize="1">
          <a:picLocks noChangeAspect="1"/>
        </xdr:cNvPicPr>
      </xdr:nvPicPr>
      <xdr:blipFill>
        <a:blip r:embed="rId12"/>
        <a:stretch>
          <a:fillRect/>
        </a:stretch>
      </xdr:blipFill>
      <xdr:spPr>
        <a:xfrm>
          <a:off x="0" y="56921400"/>
          <a:ext cx="9848850" cy="5334000"/>
        </a:xfrm>
        <a:prstGeom prst="rect">
          <a:avLst/>
        </a:prstGeom>
        <a:noFill/>
        <a:ln w="9525" cmpd="sng">
          <a:noFill/>
        </a:ln>
      </xdr:spPr>
    </xdr:pic>
    <xdr:clientData/>
  </xdr:twoCellAnchor>
  <xdr:twoCellAnchor editAs="oneCell">
    <xdr:from>
      <xdr:col>0</xdr:col>
      <xdr:colOff>0</xdr:colOff>
      <xdr:row>366</xdr:row>
      <xdr:rowOff>0</xdr:rowOff>
    </xdr:from>
    <xdr:to>
      <xdr:col>13</xdr:col>
      <xdr:colOff>352425</xdr:colOff>
      <xdr:row>397</xdr:row>
      <xdr:rowOff>0</xdr:rowOff>
    </xdr:to>
    <xdr:pic>
      <xdr:nvPicPr>
        <xdr:cNvPr id="13" name="図 10"/>
        <xdr:cNvPicPr preferRelativeResize="1">
          <a:picLocks noChangeAspect="1"/>
        </xdr:cNvPicPr>
      </xdr:nvPicPr>
      <xdr:blipFill>
        <a:blip r:embed="rId13"/>
        <a:stretch>
          <a:fillRect/>
        </a:stretch>
      </xdr:blipFill>
      <xdr:spPr>
        <a:xfrm>
          <a:off x="0" y="62750700"/>
          <a:ext cx="9144000" cy="5314950"/>
        </a:xfrm>
        <a:prstGeom prst="rect">
          <a:avLst/>
        </a:prstGeom>
        <a:noFill/>
        <a:ln w="9525" cmpd="sng">
          <a:noFill/>
        </a:ln>
      </xdr:spPr>
    </xdr:pic>
    <xdr:clientData/>
  </xdr:twoCellAnchor>
  <xdr:twoCellAnchor editAs="oneCell">
    <xdr:from>
      <xdr:col>0</xdr:col>
      <xdr:colOff>0</xdr:colOff>
      <xdr:row>400</xdr:row>
      <xdr:rowOff>0</xdr:rowOff>
    </xdr:from>
    <xdr:to>
      <xdr:col>11</xdr:col>
      <xdr:colOff>447675</xdr:colOff>
      <xdr:row>430</xdr:row>
      <xdr:rowOff>161925</xdr:rowOff>
    </xdr:to>
    <xdr:pic>
      <xdr:nvPicPr>
        <xdr:cNvPr id="14" name="図 11"/>
        <xdr:cNvPicPr preferRelativeResize="1">
          <a:picLocks noChangeAspect="1"/>
        </xdr:cNvPicPr>
      </xdr:nvPicPr>
      <xdr:blipFill>
        <a:blip r:embed="rId14"/>
        <a:stretch>
          <a:fillRect/>
        </a:stretch>
      </xdr:blipFill>
      <xdr:spPr>
        <a:xfrm>
          <a:off x="0" y="68580000"/>
          <a:ext cx="7886700" cy="5305425"/>
        </a:xfrm>
        <a:prstGeom prst="rect">
          <a:avLst/>
        </a:prstGeom>
        <a:noFill/>
        <a:ln w="9525" cmpd="sng">
          <a:noFill/>
        </a:ln>
      </xdr:spPr>
    </xdr:pic>
    <xdr:clientData/>
  </xdr:twoCellAnchor>
  <xdr:twoCellAnchor editAs="oneCell">
    <xdr:from>
      <xdr:col>0</xdr:col>
      <xdr:colOff>0</xdr:colOff>
      <xdr:row>433</xdr:row>
      <xdr:rowOff>0</xdr:rowOff>
    </xdr:from>
    <xdr:to>
      <xdr:col>13</xdr:col>
      <xdr:colOff>561975</xdr:colOff>
      <xdr:row>464</xdr:row>
      <xdr:rowOff>114300</xdr:rowOff>
    </xdr:to>
    <xdr:pic>
      <xdr:nvPicPr>
        <xdr:cNvPr id="15" name="図 12"/>
        <xdr:cNvPicPr preferRelativeResize="1">
          <a:picLocks noChangeAspect="1"/>
        </xdr:cNvPicPr>
      </xdr:nvPicPr>
      <xdr:blipFill>
        <a:blip r:embed="rId15"/>
        <a:stretch>
          <a:fillRect/>
        </a:stretch>
      </xdr:blipFill>
      <xdr:spPr>
        <a:xfrm>
          <a:off x="0" y="74237850"/>
          <a:ext cx="9353550" cy="5429250"/>
        </a:xfrm>
        <a:prstGeom prst="rect">
          <a:avLst/>
        </a:prstGeom>
        <a:noFill/>
        <a:ln w="9525" cmpd="sng">
          <a:noFill/>
        </a:ln>
      </xdr:spPr>
    </xdr:pic>
    <xdr:clientData/>
  </xdr:twoCellAnchor>
  <xdr:twoCellAnchor editAs="oneCell">
    <xdr:from>
      <xdr:col>0</xdr:col>
      <xdr:colOff>0</xdr:colOff>
      <xdr:row>467</xdr:row>
      <xdr:rowOff>0</xdr:rowOff>
    </xdr:from>
    <xdr:to>
      <xdr:col>14</xdr:col>
      <xdr:colOff>285750</xdr:colOff>
      <xdr:row>498</xdr:row>
      <xdr:rowOff>38100</xdr:rowOff>
    </xdr:to>
    <xdr:pic>
      <xdr:nvPicPr>
        <xdr:cNvPr id="16" name="図 13"/>
        <xdr:cNvPicPr preferRelativeResize="1">
          <a:picLocks noChangeAspect="1"/>
        </xdr:cNvPicPr>
      </xdr:nvPicPr>
      <xdr:blipFill>
        <a:blip r:embed="rId16"/>
        <a:stretch>
          <a:fillRect/>
        </a:stretch>
      </xdr:blipFill>
      <xdr:spPr>
        <a:xfrm>
          <a:off x="0" y="80067150"/>
          <a:ext cx="9753600" cy="5353050"/>
        </a:xfrm>
        <a:prstGeom prst="rect">
          <a:avLst/>
        </a:prstGeom>
        <a:noFill/>
        <a:ln w="9525" cmpd="sng">
          <a:noFill/>
        </a:ln>
      </xdr:spPr>
    </xdr:pic>
    <xdr:clientData/>
  </xdr:twoCellAnchor>
  <xdr:twoCellAnchor editAs="oneCell">
    <xdr:from>
      <xdr:col>0</xdr:col>
      <xdr:colOff>0</xdr:colOff>
      <xdr:row>500</xdr:row>
      <xdr:rowOff>0</xdr:rowOff>
    </xdr:from>
    <xdr:to>
      <xdr:col>14</xdr:col>
      <xdr:colOff>276225</xdr:colOff>
      <xdr:row>530</xdr:row>
      <xdr:rowOff>152400</xdr:rowOff>
    </xdr:to>
    <xdr:pic>
      <xdr:nvPicPr>
        <xdr:cNvPr id="17" name="図 14"/>
        <xdr:cNvPicPr preferRelativeResize="1">
          <a:picLocks noChangeAspect="1"/>
        </xdr:cNvPicPr>
      </xdr:nvPicPr>
      <xdr:blipFill>
        <a:blip r:embed="rId17"/>
        <a:stretch>
          <a:fillRect/>
        </a:stretch>
      </xdr:blipFill>
      <xdr:spPr>
        <a:xfrm>
          <a:off x="0" y="85725000"/>
          <a:ext cx="9744075" cy="5295900"/>
        </a:xfrm>
        <a:prstGeom prst="rect">
          <a:avLst/>
        </a:prstGeom>
        <a:noFill/>
        <a:ln w="9525" cmpd="sng">
          <a:noFill/>
        </a:ln>
      </xdr:spPr>
    </xdr:pic>
    <xdr:clientData/>
  </xdr:twoCellAnchor>
  <xdr:twoCellAnchor editAs="oneCell">
    <xdr:from>
      <xdr:col>0</xdr:col>
      <xdr:colOff>0</xdr:colOff>
      <xdr:row>533</xdr:row>
      <xdr:rowOff>0</xdr:rowOff>
    </xdr:from>
    <xdr:to>
      <xdr:col>14</xdr:col>
      <xdr:colOff>276225</xdr:colOff>
      <xdr:row>565</xdr:row>
      <xdr:rowOff>38100</xdr:rowOff>
    </xdr:to>
    <xdr:pic>
      <xdr:nvPicPr>
        <xdr:cNvPr id="18" name="図 15"/>
        <xdr:cNvPicPr preferRelativeResize="1">
          <a:picLocks noChangeAspect="1"/>
        </xdr:cNvPicPr>
      </xdr:nvPicPr>
      <xdr:blipFill>
        <a:blip r:embed="rId18"/>
        <a:stretch>
          <a:fillRect/>
        </a:stretch>
      </xdr:blipFill>
      <xdr:spPr>
        <a:xfrm>
          <a:off x="0" y="91382850"/>
          <a:ext cx="9744075" cy="5524500"/>
        </a:xfrm>
        <a:prstGeom prst="rect">
          <a:avLst/>
        </a:prstGeom>
        <a:noFill/>
        <a:ln w="9525" cmpd="sng">
          <a:noFill/>
        </a:ln>
      </xdr:spPr>
    </xdr:pic>
    <xdr:clientData/>
  </xdr:twoCellAnchor>
  <xdr:twoCellAnchor editAs="oneCell">
    <xdr:from>
      <xdr:col>0</xdr:col>
      <xdr:colOff>0</xdr:colOff>
      <xdr:row>568</xdr:row>
      <xdr:rowOff>0</xdr:rowOff>
    </xdr:from>
    <xdr:to>
      <xdr:col>14</xdr:col>
      <xdr:colOff>200025</xdr:colOff>
      <xdr:row>599</xdr:row>
      <xdr:rowOff>66675</xdr:rowOff>
    </xdr:to>
    <xdr:pic>
      <xdr:nvPicPr>
        <xdr:cNvPr id="19" name="図 16"/>
        <xdr:cNvPicPr preferRelativeResize="1">
          <a:picLocks noChangeAspect="1"/>
        </xdr:cNvPicPr>
      </xdr:nvPicPr>
      <xdr:blipFill>
        <a:blip r:embed="rId19"/>
        <a:stretch>
          <a:fillRect/>
        </a:stretch>
      </xdr:blipFill>
      <xdr:spPr>
        <a:xfrm>
          <a:off x="0" y="97383600"/>
          <a:ext cx="9667875" cy="5381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81"/>
  <sheetViews>
    <sheetView tabSelected="1" zoomScaleSheetLayoutView="100" zoomScalePageLayoutView="0" workbookViewId="0" topLeftCell="A1">
      <selection activeCell="A1" sqref="A1"/>
    </sheetView>
  </sheetViews>
  <sheetFormatPr defaultColWidth="10.00390625" defaultRowHeight="13.5" customHeight="1"/>
  <cols>
    <col min="1" max="1" width="22.75390625" style="0" customWidth="1"/>
    <col min="2" max="2" width="13.625" style="0" customWidth="1"/>
    <col min="3" max="3" width="13.875" style="0" customWidth="1"/>
    <col min="4" max="4" width="15.625" style="0" customWidth="1"/>
    <col min="5" max="5" width="12.375" style="0" customWidth="1"/>
    <col min="6" max="6" width="12.25390625" style="0" customWidth="1"/>
    <col min="7" max="7" width="13.25390625" style="0" customWidth="1"/>
    <col min="8" max="8" width="10.00390625" style="0" customWidth="1"/>
    <col min="9" max="9" width="15.75390625" style="0" customWidth="1"/>
    <col min="10" max="10" width="13.125" style="0" customWidth="1"/>
    <col min="11" max="11" width="15.50390625" style="0" customWidth="1"/>
    <col min="12" max="12" width="17.625" style="0" customWidth="1"/>
  </cols>
  <sheetData>
    <row r="1" spans="1:8" ht="19.5" customHeight="1">
      <c r="A1" s="101"/>
      <c r="B1" s="175" t="s">
        <v>0</v>
      </c>
      <c r="C1" s="176"/>
      <c r="D1" s="177"/>
      <c r="E1" s="100"/>
      <c r="F1" s="178" t="s">
        <v>0</v>
      </c>
      <c r="G1" s="179"/>
      <c r="H1" s="102"/>
    </row>
    <row r="2" spans="1:9" ht="25.5" customHeight="1">
      <c r="A2" s="103" t="s">
        <v>1</v>
      </c>
      <c r="B2" s="180">
        <v>1000000</v>
      </c>
      <c r="C2" s="180"/>
      <c r="D2" s="180"/>
      <c r="E2" s="55" t="s">
        <v>2</v>
      </c>
      <c r="F2" s="181">
        <v>41365</v>
      </c>
      <c r="G2" s="182"/>
      <c r="H2" s="39"/>
      <c r="I2" s="39"/>
    </row>
    <row r="3" spans="1:11" ht="27" customHeight="1">
      <c r="A3" s="40" t="s">
        <v>3</v>
      </c>
      <c r="B3" s="183">
        <f>SUM(B2+D11)</f>
        <v>1313120</v>
      </c>
      <c r="C3" s="183"/>
      <c r="D3" s="184"/>
      <c r="E3" s="41" t="s">
        <v>4</v>
      </c>
      <c r="F3" s="42">
        <v>0.02</v>
      </c>
      <c r="G3" s="43">
        <f>(B2-D11)*F3</f>
        <v>13737.6</v>
      </c>
      <c r="H3" s="45" t="s">
        <v>5</v>
      </c>
      <c r="I3" s="46">
        <v>0</v>
      </c>
      <c r="K3" s="104"/>
    </row>
    <row r="4" spans="1:9" s="83" customFormat="1" ht="17.25" customHeight="1">
      <c r="A4" s="78"/>
      <c r="B4" s="79"/>
      <c r="C4" s="79"/>
      <c r="D4" s="79"/>
      <c r="E4" s="80"/>
      <c r="F4" s="99" t="s">
        <v>0</v>
      </c>
      <c r="G4" s="79"/>
      <c r="H4" s="81"/>
      <c r="I4" s="82"/>
    </row>
    <row r="5" spans="1:12" ht="39" customHeight="1">
      <c r="A5" s="84"/>
      <c r="B5" s="85"/>
      <c r="C5" s="85"/>
      <c r="D5" s="97"/>
      <c r="E5" s="86"/>
      <c r="F5" s="98"/>
      <c r="G5" s="85"/>
      <c r="H5" s="87"/>
      <c r="I5" s="88"/>
      <c r="J5" s="89"/>
      <c r="K5" s="90"/>
      <c r="L5" s="90"/>
    </row>
    <row r="6" spans="1:12" ht="21" customHeight="1">
      <c r="A6" s="94" t="s">
        <v>265</v>
      </c>
      <c r="B6" s="92" t="s">
        <v>0</v>
      </c>
      <c r="C6" s="92" t="s">
        <v>0</v>
      </c>
      <c r="D6" s="93"/>
      <c r="E6" s="92" t="s">
        <v>0</v>
      </c>
      <c r="F6" s="95" t="s">
        <v>0</v>
      </c>
      <c r="G6" s="44"/>
      <c r="H6" s="39"/>
      <c r="I6" s="39"/>
      <c r="L6" s="91"/>
    </row>
    <row r="7" spans="1:12" ht="28.5">
      <c r="A7" s="96" t="s">
        <v>6</v>
      </c>
      <c r="B7" s="49" t="s">
        <v>7</v>
      </c>
      <c r="C7" s="50" t="s">
        <v>8</v>
      </c>
      <c r="D7" s="51" t="s">
        <v>9</v>
      </c>
      <c r="E7" s="52" t="s">
        <v>10</v>
      </c>
      <c r="F7" s="50" t="s">
        <v>11</v>
      </c>
      <c r="G7" s="52" t="s">
        <v>12</v>
      </c>
      <c r="H7" s="51" t="s">
        <v>13</v>
      </c>
      <c r="I7" s="53" t="s">
        <v>14</v>
      </c>
      <c r="J7" s="56" t="s">
        <v>15</v>
      </c>
      <c r="K7" s="50" t="s">
        <v>16</v>
      </c>
      <c r="L7" s="54" t="s">
        <v>17</v>
      </c>
    </row>
    <row r="8" spans="1:12" ht="24.75" customHeight="1">
      <c r="A8" s="48">
        <v>41275</v>
      </c>
      <c r="B8" s="57">
        <f>'検証データ日足'!AJ34</f>
        <v>121569.99999999953</v>
      </c>
      <c r="C8" s="58">
        <f>'検証データ日足'!AK34</f>
        <v>-37979.99999999973</v>
      </c>
      <c r="D8" s="68">
        <f>SUM(B8+C8)</f>
        <v>83589.9999999998</v>
      </c>
      <c r="E8" s="59">
        <f>'検証データ日足'!AJ35</f>
        <v>7</v>
      </c>
      <c r="F8" s="60">
        <f>'検証データ日足'!AK35</f>
        <v>6</v>
      </c>
      <c r="G8" s="59">
        <f>SUM(E8+F8)</f>
        <v>13</v>
      </c>
      <c r="H8" s="61">
        <f>E8/G8</f>
        <v>0.5384615384615384</v>
      </c>
      <c r="I8" s="62">
        <f aca="true" t="shared" si="0" ref="I8:J10">B8/E8</f>
        <v>17367.14285714279</v>
      </c>
      <c r="J8" s="62">
        <f t="shared" si="0"/>
        <v>-6329.999999999955</v>
      </c>
      <c r="K8" s="63">
        <f>I8/J8</f>
        <v>-2.7436244640036196</v>
      </c>
      <c r="L8" s="64">
        <f>B8/C8</f>
        <v>-3.2008952080042232</v>
      </c>
    </row>
    <row r="9" spans="1:12" ht="24.75" customHeight="1">
      <c r="A9" s="48">
        <v>41640</v>
      </c>
      <c r="B9" s="65">
        <f>'検証データ日足'!AJ72</f>
        <v>268300.0000000001</v>
      </c>
      <c r="C9" s="66">
        <f>'検証データ日足'!AK72</f>
        <v>-46799.99999999964</v>
      </c>
      <c r="D9" s="68">
        <f>SUM(B9+C9)</f>
        <v>221500.00000000047</v>
      </c>
      <c r="E9" s="67">
        <f>'検証データ日足'!AJ73</f>
        <v>2</v>
      </c>
      <c r="F9" s="67">
        <f>'検証データ日足'!AK73</f>
        <v>3</v>
      </c>
      <c r="G9" s="59">
        <f>SUM(E9+F9)</f>
        <v>5</v>
      </c>
      <c r="H9" s="61">
        <f>E9/G9</f>
        <v>0.4</v>
      </c>
      <c r="I9" s="62">
        <f t="shared" si="0"/>
        <v>134150.00000000006</v>
      </c>
      <c r="J9" s="62">
        <f t="shared" si="0"/>
        <v>-15599.999999999882</v>
      </c>
      <c r="K9" s="63">
        <f>I9/J9</f>
        <v>-8.599358974359044</v>
      </c>
      <c r="L9" s="64">
        <f>B9/C9</f>
        <v>-5.732905982906029</v>
      </c>
    </row>
    <row r="10" spans="1:12" ht="24.75" customHeight="1">
      <c r="A10" s="48">
        <v>42005</v>
      </c>
      <c r="B10" s="65">
        <f>'検証データ日足'!AJ86</f>
        <v>27860.000000000015</v>
      </c>
      <c r="C10" s="66">
        <f>'検証データ日足'!AK86</f>
        <v>-19830.000000000186</v>
      </c>
      <c r="D10" s="68">
        <f>SUM(B10+C10)</f>
        <v>8029.999999999829</v>
      </c>
      <c r="E10" s="67">
        <f>'検証データ日足'!AJ87</f>
        <v>1</v>
      </c>
      <c r="F10" s="67">
        <f>'検証データ日足'!AK87</f>
        <v>3</v>
      </c>
      <c r="G10" s="59">
        <f>SUM(E10+F10)</f>
        <v>4</v>
      </c>
      <c r="H10" s="61">
        <f>E10/G10</f>
        <v>0.25</v>
      </c>
      <c r="I10" s="62">
        <f t="shared" si="0"/>
        <v>27860.000000000015</v>
      </c>
      <c r="J10" s="62">
        <f t="shared" si="0"/>
        <v>-6610.000000000062</v>
      </c>
      <c r="K10" s="154">
        <f>I10/J10</f>
        <v>-4.214826021179993</v>
      </c>
      <c r="L10" s="155">
        <f>B10/C10</f>
        <v>-1.4049420070599976</v>
      </c>
    </row>
    <row r="11" spans="1:12" ht="24.75" customHeight="1">
      <c r="A11" s="69" t="s">
        <v>267</v>
      </c>
      <c r="B11" s="70">
        <f aca="true" t="shared" si="1" ref="B11:G11">SUM(B8:B10)</f>
        <v>417729.99999999965</v>
      </c>
      <c r="C11" s="71">
        <f t="shared" si="1"/>
        <v>-104609.99999999956</v>
      </c>
      <c r="D11" s="72">
        <f>SUM(D8:D10)</f>
        <v>313120.00000000006</v>
      </c>
      <c r="E11" s="73">
        <f t="shared" si="1"/>
        <v>10</v>
      </c>
      <c r="F11" s="74">
        <f t="shared" si="1"/>
        <v>12</v>
      </c>
      <c r="G11" s="73">
        <f t="shared" si="1"/>
        <v>22</v>
      </c>
      <c r="H11" s="75">
        <f>AVERAGE(H8:H10)</f>
        <v>0.39615384615384613</v>
      </c>
      <c r="I11" s="71">
        <f>AVERAGE(I8:I10)</f>
        <v>59792.38095238095</v>
      </c>
      <c r="J11" s="153">
        <f>AVERAGE(J8:J10)</f>
        <v>-9513.3333333333</v>
      </c>
      <c r="K11" s="156">
        <f>AVERAGE(K8:K10)</f>
        <v>-5.185936486514219</v>
      </c>
      <c r="L11" s="156">
        <f>AVERAGE(L8:L10)</f>
        <v>-3.4462477326567496</v>
      </c>
    </row>
    <row r="12" spans="1:12" ht="13.5">
      <c r="A12" s="47"/>
      <c r="J12" s="76"/>
      <c r="K12" s="77" t="s">
        <v>19</v>
      </c>
      <c r="L12" s="77" t="s">
        <v>20</v>
      </c>
    </row>
    <row r="13" ht="13.5">
      <c r="A13" s="47"/>
    </row>
    <row r="14" spans="1:12" ht="21" customHeight="1" thickBot="1">
      <c r="A14" s="94" t="s">
        <v>266</v>
      </c>
      <c r="B14" s="92" t="s">
        <v>0</v>
      </c>
      <c r="C14" s="92" t="s">
        <v>0</v>
      </c>
      <c r="D14" s="93"/>
      <c r="E14" s="92" t="s">
        <v>0</v>
      </c>
      <c r="F14" s="95" t="s">
        <v>0</v>
      </c>
      <c r="G14" s="44"/>
      <c r="H14" s="39"/>
      <c r="I14" s="39"/>
      <c r="L14" s="91"/>
    </row>
    <row r="15" spans="1:12" ht="28.5">
      <c r="A15" s="96" t="s">
        <v>6</v>
      </c>
      <c r="B15" s="49" t="s">
        <v>7</v>
      </c>
      <c r="C15" s="50" t="s">
        <v>8</v>
      </c>
      <c r="D15" s="51" t="s">
        <v>9</v>
      </c>
      <c r="E15" s="52" t="s">
        <v>10</v>
      </c>
      <c r="F15" s="50" t="s">
        <v>11</v>
      </c>
      <c r="G15" s="52" t="s">
        <v>12</v>
      </c>
      <c r="H15" s="51" t="s">
        <v>13</v>
      </c>
      <c r="I15" s="53" t="s">
        <v>14</v>
      </c>
      <c r="J15" s="56" t="s">
        <v>15</v>
      </c>
      <c r="K15" s="50" t="s">
        <v>16</v>
      </c>
      <c r="L15" s="54" t="s">
        <v>17</v>
      </c>
    </row>
    <row r="16" spans="1:12" ht="24.75" customHeight="1">
      <c r="A16" s="48">
        <v>41640</v>
      </c>
      <c r="B16" s="57">
        <f>_xlfn.SUMIFS('検証データ４H'!AD$5:AD$167,'検証データ４H'!V$5:V$167,"&lt;2014/2/1",'検証データ４H'!Z$5:Z$167,"勝ち")</f>
        <v>33989.99999999987</v>
      </c>
      <c r="C16" s="58">
        <f>_xlfn.SUMIFS('検証データ４H'!AD$5:AD$167,'検証データ４H'!V$5:V$167,"&lt;2014/2/1",'検証データ４H'!Z$5:Z$167,"負け")</f>
        <v>-18850.00000000005</v>
      </c>
      <c r="D16" s="68">
        <f>SUM(B16+C16)</f>
        <v>15139.999999999818</v>
      </c>
      <c r="E16" s="59">
        <f>_xlfn.COUNTIFS('検証データ４H'!V$5:V$167,"&lt;2014/2/1",'検証データ４H'!Z$5:Z$167,"勝ち")</f>
        <v>4</v>
      </c>
      <c r="F16" s="60">
        <f>_xlfn.COUNTIFS('検証データ４H'!V$5:V$167,"&lt;2014/2/1",'検証データ４H'!Z$5:Z$167,"負け")</f>
        <v>6</v>
      </c>
      <c r="G16" s="59">
        <f>SUM(E16+F16)</f>
        <v>10</v>
      </c>
      <c r="H16" s="61">
        <f>E16/G16</f>
        <v>0.4</v>
      </c>
      <c r="I16" s="62">
        <f aca="true" t="shared" si="2" ref="I16:J18">B16/E16</f>
        <v>8497.499999999967</v>
      </c>
      <c r="J16" s="62">
        <f t="shared" si="2"/>
        <v>-3141.666666666675</v>
      </c>
      <c r="K16" s="63">
        <f>I16/J16</f>
        <v>-2.7047745358090007</v>
      </c>
      <c r="L16" s="64">
        <f>B16/C16</f>
        <v>-1.8031830238726672</v>
      </c>
    </row>
    <row r="17" spans="1:12" ht="24.75" customHeight="1">
      <c r="A17" s="48">
        <v>41671</v>
      </c>
      <c r="B17" s="65">
        <f>_xlfn.SUMIFS('検証データ４H'!AD$5:AD$167,'検証データ４H'!V$5:V$167,"&lt;2014/3/1",'検証データ４H'!Z$5:Z$167,"勝ち")-B16</f>
        <v>13720</v>
      </c>
      <c r="C17" s="66">
        <f>_xlfn.SUMIFS('検証データ４H'!AD$5:AD$167,'検証データ４H'!V$5:V$167,"&lt;2014/3/1",'検証データ４H'!Z$5:Z$167,"負け")-C16</f>
        <v>-25290.000000000393</v>
      </c>
      <c r="D17" s="68">
        <f>SUM(B17-C17)</f>
        <v>39010.00000000039</v>
      </c>
      <c r="E17" s="204">
        <f>_xlfn.COUNTIFS('検証データ４H'!V$5:V$167,"&lt;2014/3/1",'検証データ４H'!Z$5:Z$167,"勝ち")-E16</f>
        <v>3</v>
      </c>
      <c r="F17" s="205">
        <f>_xlfn.COUNTIFS('検証データ４H'!V$5:V$167,"&lt;2014/3/1",'検証データ４H'!Z$5:Z$167,"負け")-F16</f>
        <v>10</v>
      </c>
      <c r="G17" s="59">
        <f>SUM(E17+F17)</f>
        <v>13</v>
      </c>
      <c r="H17" s="61">
        <f>E17/G17</f>
        <v>0.23076923076923078</v>
      </c>
      <c r="I17" s="62">
        <f t="shared" si="2"/>
        <v>4573.333333333333</v>
      </c>
      <c r="J17" s="62">
        <f t="shared" si="2"/>
        <v>-2529.000000000039</v>
      </c>
      <c r="K17" s="63">
        <f>I17/J17</f>
        <v>-1.808356399103702</v>
      </c>
      <c r="L17" s="64">
        <f>B17/C17</f>
        <v>-0.5425069197311105</v>
      </c>
    </row>
    <row r="18" spans="1:12" ht="24.75" customHeight="1">
      <c r="A18" s="48">
        <v>41699</v>
      </c>
      <c r="B18" s="65">
        <f>_xlfn.SUMIFS('検証データ４H'!AD$5:AD$167,'検証データ４H'!V$5:V$167,"&lt;2014/4/1",'検証データ４H'!Z$5:Z$167,"勝ち")-SUM(B$16:B17)</f>
        <v>22229.999999999854</v>
      </c>
      <c r="C18" s="66">
        <f>_xlfn.SUMIFS('検証データ４H'!AD$5:AD$167,'検証データ４H'!V$5:V$167,"&lt;2014/4/1",'検証データ４H'!Z$5:Z$167,"負け")-SUM(C$16:C17)</f>
        <v>-8380.000000000087</v>
      </c>
      <c r="D18" s="68">
        <f>SUM(B18-C18)</f>
        <v>30609.99999999994</v>
      </c>
      <c r="E18" s="204">
        <f>_xlfn.COUNTIFS('検証データ４H'!V$5:V$167,"&lt;2014/4/1",'検証データ４H'!Z$5:Z$167,"勝ち")-SUM(E$16:E17)</f>
        <v>3</v>
      </c>
      <c r="F18" s="205">
        <f>_xlfn.COUNTIFS('検証データ４H'!V$5:V$167,"&lt;2014/4/1",'検証データ４H'!Z$5:Z$167,"負け")-SUM(F$16:F17)</f>
        <v>5</v>
      </c>
      <c r="G18" s="59">
        <f>SUM(E18+F18)</f>
        <v>8</v>
      </c>
      <c r="H18" s="61">
        <f>E18/G18</f>
        <v>0.375</v>
      </c>
      <c r="I18" s="62">
        <f t="shared" si="2"/>
        <v>7409.999999999952</v>
      </c>
      <c r="J18" s="62">
        <f t="shared" si="2"/>
        <v>-1676.0000000000175</v>
      </c>
      <c r="K18" s="154">
        <f>I18/J18</f>
        <v>-4.4212410501192565</v>
      </c>
      <c r="L18" s="155">
        <f>B18/C18</f>
        <v>-2.6527446300715543</v>
      </c>
    </row>
    <row r="19" spans="1:12" ht="24.75" customHeight="1">
      <c r="A19" s="48">
        <v>41730</v>
      </c>
      <c r="B19" s="65">
        <f>_xlfn.SUMIFS('検証データ４H'!AD$5:AD$167,'検証データ４H'!V$5:V$167,"&lt;2014/5/1",'検証データ４H'!Z$5:Z$167,"勝ち")-SUM(B$16:B18)</f>
        <v>20199.999999999956</v>
      </c>
      <c r="C19" s="66">
        <f>_xlfn.SUMIFS('検証データ４H'!AD$5:AD$167,'検証データ４H'!V$5:V$167,"&lt;2014/5/1",'検証データ４H'!Z$5:Z$167,"負け")-SUM(C$16:C18)</f>
        <v>-21080.000000000022</v>
      </c>
      <c r="D19" s="68">
        <f aca="true" t="shared" si="3" ref="D19:D24">SUM(B19-C19)</f>
        <v>41279.99999999998</v>
      </c>
      <c r="E19" s="204">
        <f>_xlfn.COUNTIFS('検証データ４H'!V$5:V$167,"&lt;2014/5/1",'検証データ４H'!Z$5:Z$167,"勝ち")-SUM(E$16:E18)</f>
        <v>4</v>
      </c>
      <c r="F19" s="205">
        <f>_xlfn.COUNTIFS('検証データ４H'!V$5:V$167,"&lt;2014/5/1",'検証データ４H'!Z$5:Z$167,"負け")-SUM(F$16:F18)</f>
        <v>8</v>
      </c>
      <c r="G19" s="59">
        <f aca="true" t="shared" si="4" ref="G19:G24">SUM(E19+F19)</f>
        <v>12</v>
      </c>
      <c r="H19" s="61">
        <f>E19/G19</f>
        <v>0.3333333333333333</v>
      </c>
      <c r="I19" s="62">
        <f>B19/E19</f>
        <v>5049.999999999989</v>
      </c>
      <c r="J19" s="62">
        <f>C19/F19</f>
        <v>-2635.0000000000027</v>
      </c>
      <c r="K19" s="154">
        <f>I19/J19</f>
        <v>-1.9165085388994245</v>
      </c>
      <c r="L19" s="155">
        <f>B19/C19</f>
        <v>-0.9582542694497123</v>
      </c>
    </row>
    <row r="20" spans="1:12" ht="24.75" customHeight="1">
      <c r="A20" s="48">
        <v>41760</v>
      </c>
      <c r="B20" s="65">
        <f>_xlfn.SUMIFS('検証データ４H'!AD$5:AD$167,'検証データ４H'!V$5:V$167,"&lt;2014/6/1",'検証データ４H'!Z$5:Z$167,"勝ち")-SUM(B$16:B19)</f>
        <v>8919.999999999956</v>
      </c>
      <c r="C20" s="66">
        <f>_xlfn.SUMIFS('検証データ４H'!AD$5:AD$167,'検証データ４H'!V$5:V$167,"&lt;2014/6/1",'検証データ４H'!Z$5:Z$167,"負け")-SUM(C$16:C19)</f>
        <v>-23289.999999999796</v>
      </c>
      <c r="D20" s="68">
        <f t="shared" si="3"/>
        <v>32209.999999999753</v>
      </c>
      <c r="E20" s="204">
        <f>_xlfn.COUNTIFS('検証データ４H'!V$5:V$167,"&lt;2014/6/1",'検証データ４H'!Z$5:Z$167,"勝ち")-SUM(E$16:E19)</f>
        <v>4</v>
      </c>
      <c r="F20" s="205">
        <f>_xlfn.COUNTIFS('検証データ４H'!V$5:V$167,"&lt;2014/6/1",'検証データ４H'!Z$5:Z$167,"負け")-SUM(F$16:F19)</f>
        <v>12</v>
      </c>
      <c r="G20" s="59">
        <f t="shared" si="4"/>
        <v>16</v>
      </c>
      <c r="H20" s="61">
        <f>E20/G20</f>
        <v>0.25</v>
      </c>
      <c r="I20" s="62">
        <f>B20/E20</f>
        <v>2229.999999999989</v>
      </c>
      <c r="J20" s="62">
        <f>C20/F20</f>
        <v>-1940.8333333333164</v>
      </c>
      <c r="K20" s="154">
        <f>I20/J20</f>
        <v>-1.1489909832546201</v>
      </c>
      <c r="L20" s="155">
        <f>B20/C20</f>
        <v>-0.3829969944182067</v>
      </c>
    </row>
    <row r="21" spans="1:12" ht="24.75" customHeight="1">
      <c r="A21" s="48">
        <v>41791</v>
      </c>
      <c r="B21" s="65">
        <f>_xlfn.SUMIFS('検証データ４H'!AD$5:AD$167,'検証データ４H'!V$5:V$167,"&lt;2014/7/1",'検証データ４H'!Z$5:Z$167,"勝ち")-SUM(B$16:B20)</f>
        <v>8399.999999999738</v>
      </c>
      <c r="C21" s="66">
        <f>_xlfn.SUMIFS('検証データ４H'!AD$5:AD$167,'検証データ４H'!V$5:V$167,"&lt;2014/7/1",'検証データ４H'!Z$5:Z$167,"負け")-SUM(C$16:C20)</f>
        <v>-8380.000000000218</v>
      </c>
      <c r="D21" s="68">
        <f t="shared" si="3"/>
        <v>16779.999999999956</v>
      </c>
      <c r="E21" s="204">
        <f>_xlfn.COUNTIFS('検証データ４H'!V$5:V$167,"&lt;2014/7/1",'検証データ４H'!Z$5:Z$167,"勝ち")-SUM(E$16:E20)</f>
        <v>5</v>
      </c>
      <c r="F21" s="205">
        <f>_xlfn.COUNTIFS('検証データ４H'!V$5:V$167,"&lt;2014/7/1",'検証データ４H'!Z$5:Z$167,"負け")-SUM(F$16:F20)</f>
        <v>7</v>
      </c>
      <c r="G21" s="59">
        <f t="shared" si="4"/>
        <v>12</v>
      </c>
      <c r="H21" s="61">
        <f>E21/G21</f>
        <v>0.4166666666666667</v>
      </c>
      <c r="I21" s="62">
        <f>B21/E21</f>
        <v>1679.9999999999477</v>
      </c>
      <c r="J21" s="62">
        <f>C21/F21</f>
        <v>-1197.1428571428883</v>
      </c>
      <c r="K21" s="154">
        <f>I21/J21</f>
        <v>-1.4033412887827361</v>
      </c>
      <c r="L21" s="155">
        <f>B21/C21</f>
        <v>-1.0023866348448114</v>
      </c>
    </row>
    <row r="22" spans="1:12" ht="24.75" customHeight="1">
      <c r="A22" s="48">
        <v>41821</v>
      </c>
      <c r="B22" s="65">
        <f>_xlfn.SUMIFS('検証データ４H'!AD$5:AD$167,'検証データ４H'!V$5:V$167,"&lt;2014/8/1",'検証データ４H'!Z$5:Z$167,"勝ち")-SUM(B$16:B21)</f>
        <v>12919.999999999869</v>
      </c>
      <c r="C22" s="66">
        <f>_xlfn.SUMIFS('検証データ４H'!AD$5:AD$167,'検証データ４H'!V$5:V$167,"&lt;2014/8/1",'検証データ４H'!Z$5:Z$167,"負け")-SUM(C$16:C21)</f>
        <v>-13119.99999999997</v>
      </c>
      <c r="D22" s="68">
        <f t="shared" si="3"/>
        <v>26039.99999999984</v>
      </c>
      <c r="E22" s="204">
        <f>_xlfn.COUNTIFS('検証データ４H'!V$5:V$167,"&lt;2014/8/1",'検証データ４H'!Z$5:Z$167,"勝ち")-SUM(E$16:E21)</f>
        <v>8</v>
      </c>
      <c r="F22" s="205">
        <f>_xlfn.COUNTIFS('検証データ４H'!V$5:V$167,"&lt;2014/8/1",'検証データ４H'!Z$5:Z$167,"負け")-SUM(F$16:F21)</f>
        <v>10</v>
      </c>
      <c r="G22" s="59">
        <f t="shared" si="4"/>
        <v>18</v>
      </c>
      <c r="H22" s="61">
        <f>E22/G22</f>
        <v>0.4444444444444444</v>
      </c>
      <c r="I22" s="62">
        <f>B22/E22</f>
        <v>1614.9999999999836</v>
      </c>
      <c r="J22" s="62">
        <f>C22/F22</f>
        <v>-1311.999999999997</v>
      </c>
      <c r="K22" s="154">
        <f>I22/J22</f>
        <v>-1.2309451219512098</v>
      </c>
      <c r="L22" s="155">
        <f>B22/C22</f>
        <v>-0.9847560975609678</v>
      </c>
    </row>
    <row r="23" spans="1:12" ht="24.75" customHeight="1">
      <c r="A23" s="48">
        <v>41852</v>
      </c>
      <c r="B23" s="65">
        <f>_xlfn.SUMIFS('検証データ４H'!AD$5:AD$167,'検証データ４H'!V$5:V$167,"&lt;2014/9/1",'検証データ４H'!Z$5:Z$167,"勝ち")-SUM(B$16:B22)</f>
        <v>25869.999999999913</v>
      </c>
      <c r="C23" s="66">
        <f>_xlfn.SUMIFS('検証データ４H'!AD$5:AD$167,'検証データ４H'!V$5:V$167,"&lt;2014/9/1",'検証データ４H'!Z$5:Z$167,"負け")-SUM(C$16:C22)</f>
        <v>-19169.999999999724</v>
      </c>
      <c r="D23" s="68">
        <f t="shared" si="3"/>
        <v>45039.999999999636</v>
      </c>
      <c r="E23" s="204">
        <f>_xlfn.COUNTIFS('検証データ４H'!V$5:V$167,"&lt;2014/9/1",'検証データ４H'!Z$5:Z$167,"勝ち")-SUM(E$16:E22)</f>
        <v>5</v>
      </c>
      <c r="F23" s="205">
        <f>_xlfn.COUNTIFS('検証データ４H'!V$5:V$167,"&lt;2014/9/1",'検証データ４H'!Z$5:Z$167,"負け")-SUM(F$16:F22)</f>
        <v>8</v>
      </c>
      <c r="G23" s="59">
        <f t="shared" si="4"/>
        <v>13</v>
      </c>
      <c r="H23" s="61">
        <f>E23/G23</f>
        <v>0.38461538461538464</v>
      </c>
      <c r="I23" s="62">
        <f>B23/E23</f>
        <v>5173.999999999983</v>
      </c>
      <c r="J23" s="62">
        <f>C23/F23</f>
        <v>-2396.2499999999654</v>
      </c>
      <c r="K23" s="154">
        <f>I23/J23</f>
        <v>-2.159207094418386</v>
      </c>
      <c r="L23" s="155">
        <f>B23/C23</f>
        <v>-1.3495044340114912</v>
      </c>
    </row>
    <row r="24" spans="1:12" ht="24.75" customHeight="1">
      <c r="A24" s="48">
        <v>41883</v>
      </c>
      <c r="B24" s="65"/>
      <c r="C24" s="66"/>
      <c r="D24" s="68">
        <f t="shared" si="3"/>
        <v>0</v>
      </c>
      <c r="E24" s="67"/>
      <c r="F24" s="67"/>
      <c r="G24" s="59">
        <f t="shared" si="4"/>
        <v>0</v>
      </c>
      <c r="H24" s="61">
        <f>IF(E24&lt;&gt;"",E24/G24,"")</f>
      </c>
      <c r="I24" s="62">
        <f>IF(B24&lt;&gt;"",B24/E24,"")</f>
      </c>
      <c r="J24" s="62">
        <f>IF(C24&lt;&gt;"",C24/F24,"")</f>
      </c>
      <c r="K24" s="154">
        <f>IF(I24&lt;&gt;"",I24/J24,"")</f>
      </c>
      <c r="L24" s="155">
        <f>IF(B24&lt;&gt;"",B24/C24,"")</f>
      </c>
    </row>
    <row r="25" spans="1:12" ht="24.75" customHeight="1">
      <c r="A25" s="69" t="s">
        <v>18</v>
      </c>
      <c r="B25" s="70">
        <f aca="true" t="shared" si="5" ref="B25:G25">SUM(B16:B18)</f>
        <v>69939.99999999972</v>
      </c>
      <c r="C25" s="71">
        <f t="shared" si="5"/>
        <v>-52520.00000000053</v>
      </c>
      <c r="D25" s="72">
        <f t="shared" si="5"/>
        <v>84760.00000000015</v>
      </c>
      <c r="E25" s="73">
        <f t="shared" si="5"/>
        <v>10</v>
      </c>
      <c r="F25" s="74">
        <f t="shared" si="5"/>
        <v>21</v>
      </c>
      <c r="G25" s="73">
        <f t="shared" si="5"/>
        <v>31</v>
      </c>
      <c r="H25" s="75">
        <f>AVERAGE(H16:H18)</f>
        <v>0.33525641025641023</v>
      </c>
      <c r="I25" s="71">
        <f>AVERAGE(I16:I18)</f>
        <v>6826.944444444417</v>
      </c>
      <c r="J25" s="153">
        <f>AVERAGE(J16:J18)</f>
        <v>-2448.8888888889105</v>
      </c>
      <c r="K25" s="156">
        <f>AVERAGE(K16:K18)</f>
        <v>-2.978123995010653</v>
      </c>
      <c r="L25" s="156">
        <f>AVERAGE(L16:L18)</f>
        <v>-1.6661448578917772</v>
      </c>
    </row>
    <row r="26" spans="1:12" ht="13.5">
      <c r="A26" s="47"/>
      <c r="J26" s="76"/>
      <c r="K26" s="77" t="s">
        <v>19</v>
      </c>
      <c r="L26" s="77" t="s">
        <v>20</v>
      </c>
    </row>
    <row r="29" spans="1:9" ht="21" customHeight="1" thickBot="1">
      <c r="A29" s="94" t="s">
        <v>614</v>
      </c>
      <c r="B29" s="92" t="s">
        <v>0</v>
      </c>
      <c r="C29" s="92" t="s">
        <v>0</v>
      </c>
      <c r="D29" s="93"/>
      <c r="E29" s="92" t="s">
        <v>0</v>
      </c>
      <c r="F29" s="95" t="s">
        <v>0</v>
      </c>
      <c r="G29" s="44"/>
      <c r="H29" s="39"/>
      <c r="I29" s="39"/>
    </row>
    <row r="30" spans="1:12" ht="28.5">
      <c r="A30" s="96" t="s">
        <v>6</v>
      </c>
      <c r="B30" s="49" t="s">
        <v>7</v>
      </c>
      <c r="C30" s="50" t="s">
        <v>8</v>
      </c>
      <c r="D30" s="51" t="s">
        <v>9</v>
      </c>
      <c r="E30" s="52" t="s">
        <v>10</v>
      </c>
      <c r="F30" s="50" t="s">
        <v>11</v>
      </c>
      <c r="G30" s="52" t="s">
        <v>12</v>
      </c>
      <c r="H30" s="51" t="s">
        <v>13</v>
      </c>
      <c r="I30" s="53" t="s">
        <v>14</v>
      </c>
      <c r="J30" s="56" t="s">
        <v>15</v>
      </c>
      <c r="K30" s="50" t="s">
        <v>16</v>
      </c>
      <c r="L30" s="54" t="s">
        <v>17</v>
      </c>
    </row>
    <row r="31" spans="1:12" ht="24.75" customHeight="1">
      <c r="A31" s="48">
        <v>41640</v>
      </c>
      <c r="B31" s="57">
        <f>_xlfn.SUMIFS('検証データ４H'!AD$5:AD$167,'検証データ４H'!V$5:V$167,"&lt;2014/2/1",'検証データ４H'!Z$5:Z$167,"勝ち",'検証データ４H'!M$5:M167,"*②*")</f>
        <v>5369.999999999919</v>
      </c>
      <c r="C31" s="58">
        <f>_xlfn.SUMIFS('検証データ４H'!AD$5:AD$167,'検証データ４H'!V$5:V$167,"&lt;2014/2/1",'検証データ４H'!Z$5:Z$167,"負け",'検証データ４H'!M$5:M167,"*②*")</f>
        <v>-13490.000000000036</v>
      </c>
      <c r="D31" s="68">
        <f>SUM(B31+C31)</f>
        <v>-8120.000000000117</v>
      </c>
      <c r="E31" s="59">
        <f>_xlfn.COUNTIFS('検証データ４H'!V$5:V$167,"&lt;2014/2/1",'検証データ４H'!Z$5:Z$167,"勝ち",'検証データ４H'!M$5:M167,"*②*")</f>
        <v>1</v>
      </c>
      <c r="F31" s="60">
        <f>_xlfn.COUNTIFS('検証データ４H'!V$5:V$167,"&lt;2014/2/1",'検証データ４H'!Z$5:Z$167,"負け",'検証データ４H'!M$5:M167,"*②*")</f>
        <v>3</v>
      </c>
      <c r="G31" s="59">
        <f>SUM(E31+F31)</f>
        <v>4</v>
      </c>
      <c r="H31" s="61">
        <f>E31/G31</f>
        <v>0.25</v>
      </c>
      <c r="I31" s="62">
        <f aca="true" t="shared" si="6" ref="I31:I38">B31/E31</f>
        <v>5369.999999999919</v>
      </c>
      <c r="J31" s="62">
        <f aca="true" t="shared" si="7" ref="J31:J38">C31/F31</f>
        <v>-4496.666666666679</v>
      </c>
      <c r="K31" s="63">
        <f>I31/J31</f>
        <v>-1.1942179392142116</v>
      </c>
      <c r="L31" s="64">
        <f>B31/C31</f>
        <v>-0.39807264640473716</v>
      </c>
    </row>
    <row r="32" spans="1:12" ht="24.75" customHeight="1">
      <c r="A32" s="48">
        <v>41671</v>
      </c>
      <c r="B32" s="65">
        <f>_xlfn.SUMIFS('検証データ４H'!AD$5:AD$167,'検証データ４H'!V$5:V$167,"&lt;2014/3/1",'検証データ４H'!Z$5:Z$167,"勝ち",'検証データ４H'!M$5:M167,"*②*")-B31</f>
        <v>2259.999999999991</v>
      </c>
      <c r="C32" s="66">
        <f>_xlfn.SUMIFS('検証データ４H'!AD$5:AD$167,'検証データ４H'!V$5:V$167,"&lt;2014/3/1",'検証データ４H'!Z$5:Z$167,"負け",'検証データ４H'!M$5:M167,"*②*")-C31</f>
        <v>-13170.000000000215</v>
      </c>
      <c r="D32" s="68">
        <f aca="true" t="shared" si="8" ref="D32:D38">SUM(B32+C32)</f>
        <v>-10910.000000000224</v>
      </c>
      <c r="E32" s="204">
        <f>_xlfn.COUNTIFS('検証データ４H'!V$5:V$167,"&lt;2014/3/1",'検証データ４H'!Z$5:Z$167,"勝ち",'検証データ４H'!M$5:M167,"*②*")-E31</f>
        <v>1</v>
      </c>
      <c r="F32" s="205">
        <f>_xlfn.COUNTIFS('検証データ４H'!V$5:V$167,"&lt;2014/3/1",'検証データ４H'!Z$5:Z$167,"負け",'検証データ４H'!M$5:M167,"*②*")-F31</f>
        <v>5</v>
      </c>
      <c r="G32" s="59">
        <f>SUM(E32+F32)</f>
        <v>6</v>
      </c>
      <c r="H32" s="61">
        <f>E32/G32</f>
        <v>0.16666666666666666</v>
      </c>
      <c r="I32" s="62">
        <f t="shared" si="6"/>
        <v>2259.999999999991</v>
      </c>
      <c r="J32" s="62">
        <f t="shared" si="7"/>
        <v>-2634.0000000000427</v>
      </c>
      <c r="K32" s="63">
        <f>I32/J32</f>
        <v>-0.8580106302201801</v>
      </c>
      <c r="L32" s="64">
        <f>B32/C32</f>
        <v>-0.171602126044036</v>
      </c>
    </row>
    <row r="33" spans="1:12" ht="24.75" customHeight="1">
      <c r="A33" s="48">
        <v>41699</v>
      </c>
      <c r="B33" s="65">
        <f>_xlfn.SUMIFS('検証データ４H'!AD$5:AD$167,'検証データ４H'!V$5:V$167,"&lt;2014/4/1",'検証データ４H'!Z$5:Z$167,"勝ち",'検証データ４H'!M$5:M167,"*②*")-SUM(B$31:B32)</f>
        <v>22229.99999999985</v>
      </c>
      <c r="C33" s="66">
        <f>_xlfn.SUMIFS('検証データ４H'!AD$5:AD$167,'検証データ４H'!V$5:V$167,"&lt;2014/4/1",'検証データ４H'!Z$5:Z$167,"負け",'検証データ４H'!M$5:M167,"*②*")-SUM(C$31:C32)</f>
        <v>-3720.000000000142</v>
      </c>
      <c r="D33" s="68">
        <f t="shared" si="8"/>
        <v>18509.99999999971</v>
      </c>
      <c r="E33" s="204">
        <f>_xlfn.COUNTIFS('検証データ４H'!V$5:V$167,"&lt;2014/4/1",'検証データ４H'!Z$5:Z$167,"勝ち",'検証データ４H'!M$5:M167,"*②*")-SUM(E$31:E32)</f>
        <v>3</v>
      </c>
      <c r="F33" s="205">
        <f>_xlfn.COUNTIFS('検証データ４H'!V$5:V$167,"&lt;2014/4/1",'検証データ４H'!Z$5:Z$167,"負け",'検証データ４H'!M$5:M167,"*②*")-SUM(F$31:F32)</f>
        <v>3</v>
      </c>
      <c r="G33" s="59">
        <f>SUM(E33+F33)</f>
        <v>6</v>
      </c>
      <c r="H33" s="61">
        <f>E33/G33</f>
        <v>0.5</v>
      </c>
      <c r="I33" s="62">
        <f t="shared" si="6"/>
        <v>7409.99999999995</v>
      </c>
      <c r="J33" s="62">
        <f t="shared" si="7"/>
        <v>-1240.0000000000473</v>
      </c>
      <c r="K33" s="154">
        <f>I33/J33</f>
        <v>-5.975806451612635</v>
      </c>
      <c r="L33" s="155">
        <f>B33/C33</f>
        <v>-5.975806451612635</v>
      </c>
    </row>
    <row r="34" spans="1:12" ht="24.75" customHeight="1">
      <c r="A34" s="48">
        <v>41730</v>
      </c>
      <c r="B34" s="65">
        <f>_xlfn.SUMIFS('検証データ４H'!AD$5:AD$167,'検証データ４H'!V$5:V$167,"&lt;2014/5/1",'検証データ４H'!Z$5:Z$167,"勝ち",'検証データ４H'!M$5:M167,"*②*")-SUM(B$31:B33)</f>
        <v>9000.000000000051</v>
      </c>
      <c r="C34" s="66">
        <f>_xlfn.SUMIFS('検証データ４H'!AD$5:AD$167,'検証データ４H'!V$5:V$167,"&lt;2014/5/1",'検証データ４H'!Z$5:Z$167,"負け",'検証データ４H'!M$5:M167,"*②*")-SUM(C$31:C33)</f>
        <v>-16050.00000000019</v>
      </c>
      <c r="D34" s="68">
        <f t="shared" si="8"/>
        <v>-7050.000000000138</v>
      </c>
      <c r="E34" s="204">
        <f>_xlfn.COUNTIFS('検証データ４H'!V$5:V$167,"&lt;2014/5/1",'検証データ４H'!Z$5:Z$167,"勝ち",'検証データ４H'!M$5:M167,"*②*")-SUM(E$31:E33)</f>
        <v>2</v>
      </c>
      <c r="F34" s="205">
        <f>_xlfn.COUNTIFS('検証データ４H'!V$5:V$167,"&lt;2014/5/1",'検証データ４H'!Z$5:Z$167,"負け",'検証データ４H'!M$5:M167,"*②*")-SUM(F$31:F33)</f>
        <v>5</v>
      </c>
      <c r="G34" s="59">
        <f aca="true" t="shared" si="9" ref="G34:G39">SUM(E34+F34)</f>
        <v>7</v>
      </c>
      <c r="H34" s="61">
        <f>E34/G34</f>
        <v>0.2857142857142857</v>
      </c>
      <c r="I34" s="62">
        <f t="shared" si="6"/>
        <v>4500.0000000000255</v>
      </c>
      <c r="J34" s="62">
        <f t="shared" si="7"/>
        <v>-3210.0000000000377</v>
      </c>
      <c r="K34" s="154">
        <f>I34/J34</f>
        <v>-1.4018691588784962</v>
      </c>
      <c r="L34" s="155">
        <f>B34/C34</f>
        <v>-0.5607476635513984</v>
      </c>
    </row>
    <row r="35" spans="1:12" ht="24.75" customHeight="1">
      <c r="A35" s="48">
        <v>41760</v>
      </c>
      <c r="B35" s="65">
        <f>_xlfn.SUMIFS('検証データ４H'!AD$5:AD$167,'検証データ４H'!V$5:V$167,"&lt;2014/6/1",'検証データ４H'!Z$5:Z$167,"勝ち",'検証データ４H'!M$5:M167,"*②*")-SUM(B$31:B34)</f>
        <v>6100</v>
      </c>
      <c r="C35" s="66">
        <f>_xlfn.SUMIFS('検証データ４H'!AD$5:AD$167,'検証データ４H'!V$5:V$167,"&lt;2014/6/1",'検証データ４H'!Z$5:Z$167,"負け",'検証データ４H'!M$5:M167,"*②*")-SUM(C$31:C34)</f>
        <v>-10999.999999999942</v>
      </c>
      <c r="D35" s="68">
        <f t="shared" si="8"/>
        <v>-4899.999999999942</v>
      </c>
      <c r="E35" s="204">
        <f>_xlfn.COUNTIFS('検証データ４H'!V$5:V$167,"&lt;2014/6/1",'検証データ４H'!Z$5:Z$167,"勝ち",'検証データ４H'!M$5:M167,"*②*")-SUM(E$31:E34)</f>
        <v>2</v>
      </c>
      <c r="F35" s="205">
        <f>_xlfn.COUNTIFS('検証データ４H'!V$5:V$167,"&lt;2014/6/1",'検証データ４H'!Z$5:Z$167,"負け",'検証データ４H'!M$5:M167,"*②*")-SUM(F$31:F34)</f>
        <v>5</v>
      </c>
      <c r="G35" s="59">
        <f t="shared" si="9"/>
        <v>7</v>
      </c>
      <c r="H35" s="61">
        <f>E35/G35</f>
        <v>0.2857142857142857</v>
      </c>
      <c r="I35" s="62">
        <f t="shared" si="6"/>
        <v>3050</v>
      </c>
      <c r="J35" s="62">
        <f t="shared" si="7"/>
        <v>-2199.999999999988</v>
      </c>
      <c r="K35" s="154">
        <f>I35/J35</f>
        <v>-1.3863636363636438</v>
      </c>
      <c r="L35" s="155">
        <f>B35/C35</f>
        <v>-0.5545454545454575</v>
      </c>
    </row>
    <row r="36" spans="1:12" ht="24.75" customHeight="1">
      <c r="A36" s="48">
        <v>41791</v>
      </c>
      <c r="B36" s="65">
        <f>_xlfn.SUMIFS('検証データ４H'!AD$5:AD$167,'検証データ４H'!V$5:V$167,"&lt;2014/7/1",'検証データ４H'!Z$5:Z$167,"勝ち",'検証データ４H'!M$5:M167,"*②*")-SUM(B$31:B35)</f>
        <v>6249.999999999862</v>
      </c>
      <c r="C36" s="66">
        <f>_xlfn.SUMIFS('検証データ４H'!AD$5:AD$167,'検証データ４H'!V$5:V$167,"&lt;2014/7/1",'検証データ４H'!Z$5:Z$167,"負け",'検証データ４H'!M$5:M167,"*②*")-SUM(C$31:C35)</f>
        <v>-3310.000000000029</v>
      </c>
      <c r="D36" s="68">
        <f t="shared" si="8"/>
        <v>2939.9999999998327</v>
      </c>
      <c r="E36" s="204">
        <f>_xlfn.COUNTIFS('検証データ４H'!V$5:V$167,"&lt;2014/7/1",'検証データ４H'!Z$5:Z$167,"勝ち",'検証データ４H'!M$5:M167,"*②*")-SUM(E$31:E35)</f>
        <v>3</v>
      </c>
      <c r="F36" s="205">
        <f>_xlfn.COUNTIFS('検証データ４H'!V$5:V$167,"&lt;2014/7/1",'検証データ４H'!Z$5:Z$167,"負け",'検証データ４H'!M$5:M167,"*②*")-SUM(F$31:F35)</f>
        <v>4</v>
      </c>
      <c r="G36" s="59">
        <f t="shared" si="9"/>
        <v>7</v>
      </c>
      <c r="H36" s="61">
        <f>E36/G36</f>
        <v>0.42857142857142855</v>
      </c>
      <c r="I36" s="62">
        <f t="shared" si="6"/>
        <v>2083.333333333287</v>
      </c>
      <c r="J36" s="62">
        <f t="shared" si="7"/>
        <v>-827.5000000000073</v>
      </c>
      <c r="K36" s="154">
        <f>I36/J36</f>
        <v>-2.5176233635447356</v>
      </c>
      <c r="L36" s="155">
        <f>B36/C36</f>
        <v>-1.8882175226585518</v>
      </c>
    </row>
    <row r="37" spans="1:12" ht="24.75" customHeight="1">
      <c r="A37" s="48">
        <v>41821</v>
      </c>
      <c r="B37" s="65">
        <f>_xlfn.SUMIFS('検証データ４H'!AD$5:AD$167,'検証データ４H'!V$5:V$167,"&lt;2014/8/1",'検証データ４H'!Z$5:Z$167,"勝ち",'検証データ４H'!M$5:M167,"*②*")-SUM(B$31:B36)</f>
        <v>3660</v>
      </c>
      <c r="C37" s="66">
        <f>_xlfn.SUMIFS('検証データ４H'!AD$5:AD$167,'検証データ４H'!V$5:V$167,"&lt;2014/8/1",'検証データ４H'!Z$5:Z$167,"負け",'検証データ４H'!M$5:M167,"*②*")-SUM(C$31:C36)</f>
        <v>-3760.000000000051</v>
      </c>
      <c r="D37" s="68">
        <f t="shared" si="8"/>
        <v>-100.00000000005093</v>
      </c>
      <c r="E37" s="204">
        <f>_xlfn.COUNTIFS('検証データ４H'!V$5:V$167,"&lt;2014/8/1",'検証データ４H'!Z$5:Z$167,"勝ち",'検証データ４H'!M$5:M167,"*②*")-SUM(E$31:E36)</f>
        <v>3</v>
      </c>
      <c r="F37" s="205">
        <f>_xlfn.COUNTIFS('検証データ４H'!V$5:V$167,"&lt;2014/8/1",'検証データ４H'!Z$5:Z$167,"負け",'検証データ４H'!M$5:M167,"*②*")-SUM(F$31:F36)</f>
        <v>3</v>
      </c>
      <c r="G37" s="59">
        <f t="shared" si="9"/>
        <v>6</v>
      </c>
      <c r="H37" s="61">
        <f>E37/G37</f>
        <v>0.5</v>
      </c>
      <c r="I37" s="62">
        <f t="shared" si="6"/>
        <v>1220</v>
      </c>
      <c r="J37" s="62">
        <f t="shared" si="7"/>
        <v>-1253.3333333333503</v>
      </c>
      <c r="K37" s="154">
        <f>I37/J37</f>
        <v>-0.9734042553191358</v>
      </c>
      <c r="L37" s="155">
        <f>B37/C37</f>
        <v>-0.9734042553191358</v>
      </c>
    </row>
    <row r="38" spans="1:12" ht="24.75" customHeight="1">
      <c r="A38" s="48">
        <v>41852</v>
      </c>
      <c r="B38" s="65">
        <f>_xlfn.SUMIFS('検証データ４H'!AD$5:AD$167,'検証データ４H'!V$5:V$167,"&lt;2014/9/1",'検証データ４H'!Z$5:Z$167,"勝ち",'検証データ４H'!M$5:M167,"*②*")-SUM(B$31:B37)</f>
        <v>20479.999999999876</v>
      </c>
      <c r="C38" s="66">
        <f>_xlfn.SUMIFS('検証データ４H'!AD$5:AD$167,'検証データ４H'!V$5:V$167,"&lt;2014/9/1",'検証データ４H'!Z$5:Z$167,"負け",'検証データ４H'!M$5:M167,"*②*")-SUM(C$31:C37)</f>
        <v>-10289.999999999818</v>
      </c>
      <c r="D38" s="68">
        <f t="shared" si="8"/>
        <v>10190.000000000058</v>
      </c>
      <c r="E38" s="204">
        <f>_xlfn.COUNTIFS('検証データ４H'!V$5:V$167,"&lt;2014/9/1",'検証データ４H'!Z$5:Z$167,"勝ち",'検証データ４H'!M$5:M167,"*②*")-SUM(E$31:E37)</f>
        <v>3</v>
      </c>
      <c r="F38" s="205">
        <f>_xlfn.COUNTIFS('検証データ４H'!V$5:V$167,"&lt;2014/9/1",'検証データ４H'!Z$5:Z$167,"負け",'検証データ４H'!M$5:M167,"*②*")-SUM(F$31:F37)</f>
        <v>4</v>
      </c>
      <c r="G38" s="59">
        <f t="shared" si="9"/>
        <v>7</v>
      </c>
      <c r="H38" s="61">
        <f>E38/G38</f>
        <v>0.42857142857142855</v>
      </c>
      <c r="I38" s="62">
        <f t="shared" si="6"/>
        <v>6826.666666666625</v>
      </c>
      <c r="J38" s="62">
        <f t="shared" si="7"/>
        <v>-2572.4999999999545</v>
      </c>
      <c r="K38" s="154">
        <f>I38/J38</f>
        <v>-2.653709102688725</v>
      </c>
      <c r="L38" s="155">
        <f>B38/C38</f>
        <v>-1.990281827016544</v>
      </c>
    </row>
    <row r="39" spans="1:12" ht="24.75" customHeight="1">
      <c r="A39" s="48">
        <v>41883</v>
      </c>
      <c r="B39" s="65"/>
      <c r="C39" s="66"/>
      <c r="D39" s="68">
        <f aca="true" t="shared" si="10" ref="D34:D39">SUM(B39-C39)</f>
        <v>0</v>
      </c>
      <c r="E39" s="67"/>
      <c r="F39" s="67"/>
      <c r="G39" s="59">
        <f t="shared" si="9"/>
        <v>0</v>
      </c>
      <c r="H39" s="61">
        <f>IF(E39&lt;&gt;"",E39/G39,"")</f>
      </c>
      <c r="I39" s="62">
        <f>IF(B39&lt;&gt;"",B39/E39,"")</f>
      </c>
      <c r="J39" s="62">
        <f>IF(C39&lt;&gt;"",C39/F39,"")</f>
      </c>
      <c r="K39" s="154">
        <f>IF(I39&lt;&gt;"",I39/J39,"")</f>
      </c>
      <c r="L39" s="155">
        <f>IF(B39&lt;&gt;"",B39/C39,"")</f>
      </c>
    </row>
    <row r="40" spans="1:12" ht="24.75" customHeight="1">
      <c r="A40" s="69" t="s">
        <v>18</v>
      </c>
      <c r="B40" s="70">
        <f>SUM(B31:B39)</f>
        <v>75349.99999999955</v>
      </c>
      <c r="C40" s="70">
        <f>SUM(C31:C39)</f>
        <v>-74790.00000000042</v>
      </c>
      <c r="D40" s="70">
        <f>SUM(D31:D39)</f>
        <v>559.9999999991269</v>
      </c>
      <c r="E40" s="70">
        <f>SUM(E31:E39)</f>
        <v>18</v>
      </c>
      <c r="F40" s="70">
        <f>SUM(F31:F39)</f>
        <v>32</v>
      </c>
      <c r="G40" s="70">
        <f>SUM(G31:G39)</f>
        <v>50</v>
      </c>
      <c r="H40" s="75">
        <f>AVERAGE(H31:H33)</f>
        <v>0.3055555555555555</v>
      </c>
      <c r="I40" s="71">
        <f>AVERAGE(I31:I33)</f>
        <v>5013.333333333287</v>
      </c>
      <c r="J40" s="153">
        <f>AVERAGE(J31:J33)</f>
        <v>-2790.2222222222567</v>
      </c>
      <c r="K40" s="156">
        <f>AVERAGE(K31:K33)</f>
        <v>-2.6760116736823423</v>
      </c>
      <c r="L40" s="156">
        <f>AVERAGE(L31:L33)</f>
        <v>-2.181827074687136</v>
      </c>
    </row>
    <row r="41" spans="1:12" ht="13.5">
      <c r="A41" s="47"/>
      <c r="J41" s="76"/>
      <c r="K41" s="77" t="s">
        <v>19</v>
      </c>
      <c r="L41" s="77" t="s">
        <v>20</v>
      </c>
    </row>
    <row r="43" spans="1:9" ht="21" customHeight="1" thickBot="1">
      <c r="A43" s="94" t="s">
        <v>615</v>
      </c>
      <c r="B43" s="92" t="s">
        <v>0</v>
      </c>
      <c r="C43" s="92" t="s">
        <v>0</v>
      </c>
      <c r="D43" s="93"/>
      <c r="E43" s="92" t="s">
        <v>0</v>
      </c>
      <c r="F43" s="95" t="s">
        <v>0</v>
      </c>
      <c r="G43" s="44"/>
      <c r="H43" s="39"/>
      <c r="I43" s="39"/>
    </row>
    <row r="44" spans="1:12" ht="28.5">
      <c r="A44" s="96" t="s">
        <v>6</v>
      </c>
      <c r="B44" s="49" t="s">
        <v>7</v>
      </c>
      <c r="C44" s="50" t="s">
        <v>8</v>
      </c>
      <c r="D44" s="51" t="s">
        <v>9</v>
      </c>
      <c r="E44" s="52" t="s">
        <v>10</v>
      </c>
      <c r="F44" s="50" t="s">
        <v>11</v>
      </c>
      <c r="G44" s="52" t="s">
        <v>12</v>
      </c>
      <c r="H44" s="51" t="s">
        <v>13</v>
      </c>
      <c r="I44" s="53" t="s">
        <v>14</v>
      </c>
      <c r="J44" s="56" t="s">
        <v>15</v>
      </c>
      <c r="K44" s="50" t="s">
        <v>16</v>
      </c>
      <c r="L44" s="54" t="s">
        <v>17</v>
      </c>
    </row>
    <row r="45" spans="1:12" ht="24.75" customHeight="1">
      <c r="A45" s="48">
        <v>41640</v>
      </c>
      <c r="B45" s="57">
        <f>_xlfn.SUMIFS('検証データ４H'!AD$5:AD$167,'検証データ４H'!V$5:V$167,"&lt;2014/2/1",'検証データ４H'!Z$5:Z$167,"勝ち",'検証データ４H'!M$5:M167,"*①*")</f>
        <v>28619.99999999995</v>
      </c>
      <c r="C45" s="58">
        <f>_xlfn.SUMIFS('検証データ４H'!AD$5:AD$167,'検証データ４H'!V$5:V$167,"&lt;2014/2/1",'検証データ４H'!Z$5:Z$167,"負け",'検証データ４H'!M$5:M167,"*①*")</f>
        <v>-5360.000000000014</v>
      </c>
      <c r="D45" s="68">
        <f>SUM(B45+C45)</f>
        <v>23259.999999999935</v>
      </c>
      <c r="E45" s="59">
        <f>_xlfn.COUNTIFS('検証データ４H'!V$5:V$167,"&lt;2014/2/1",'検証データ４H'!Z$5:Z$167,"勝ち",'検証データ４H'!M$5:M167,"*①*")</f>
        <v>3</v>
      </c>
      <c r="F45" s="60">
        <f>_xlfn.COUNTIFS('検証データ４H'!V$5:V$167,"&lt;2014/2/1",'検証データ４H'!Z$5:Z$167,"負け",'検証データ４H'!M$5:M167,"*①*")</f>
        <v>3</v>
      </c>
      <c r="G45" s="59">
        <f>SUM(E45+F45)</f>
        <v>6</v>
      </c>
      <c r="H45" s="61">
        <f>E45/G45</f>
        <v>0.5</v>
      </c>
      <c r="I45" s="62">
        <f aca="true" t="shared" si="11" ref="I45:I52">B45/E45</f>
        <v>9539.999999999984</v>
      </c>
      <c r="J45" s="62">
        <f aca="true" t="shared" si="12" ref="J45:J52">C45/F45</f>
        <v>-1786.6666666666713</v>
      </c>
      <c r="K45" s="63">
        <f>I45/J45</f>
        <v>-5.339552238805947</v>
      </c>
      <c r="L45" s="64">
        <f>B45/C45</f>
        <v>-5.339552238805947</v>
      </c>
    </row>
    <row r="46" spans="1:12" ht="24.75" customHeight="1">
      <c r="A46" s="48">
        <v>41671</v>
      </c>
      <c r="B46" s="65">
        <f>_xlfn.SUMIFS('検証データ４H'!AD$5:AD$167,'検証データ４H'!V$5:V$167,"&lt;2014/３/1",'検証データ４H'!Z$5:Z$167,"勝ち",'検証データ４H'!M$5:M167,"*①*")-B45</f>
        <v>11460.000000000007</v>
      </c>
      <c r="C46" s="66">
        <f>_xlfn.SUMIFS('検証データ４H'!AD$5:AD$167,'検証データ４H'!V$5:V$167,"&lt;2014/3/1",'検証データ４H'!Z$5:Z$167,"負け",'検証データ４H'!M$5:M167,"*①*")-C45</f>
        <v>-12120.000000000175</v>
      </c>
      <c r="D46" s="68">
        <f aca="true" t="shared" si="13" ref="D46:D52">SUM(B46+C46)</f>
        <v>-660.0000000001673</v>
      </c>
      <c r="E46" s="204">
        <f>_xlfn.COUNTIFS('検証データ４H'!V$5:V$167,"&lt;2014/3/1",'検証データ４H'!Z$5:Z$167,"勝ち",'検証データ４H'!M$5:M167,"*①*")-E45</f>
        <v>2</v>
      </c>
      <c r="F46" s="205">
        <f>_xlfn.COUNTIFS('検証データ４H'!V$5:V$167,"&lt;2014/3/1",'検証データ４H'!Z$5:Z$167,"負け",'検証データ４H'!M$5:M167,"*①*")-F45</f>
        <v>5</v>
      </c>
      <c r="G46" s="59">
        <f>SUM(E46+F46)</f>
        <v>7</v>
      </c>
      <c r="H46" s="61">
        <f>E46/G46</f>
        <v>0.2857142857142857</v>
      </c>
      <c r="I46" s="62">
        <f t="shared" si="11"/>
        <v>5730.000000000004</v>
      </c>
      <c r="J46" s="62">
        <f t="shared" si="12"/>
        <v>-2424.000000000035</v>
      </c>
      <c r="K46" s="63">
        <f>I46/J46</f>
        <v>-2.363861386138581</v>
      </c>
      <c r="L46" s="64">
        <f>B46/C46</f>
        <v>-0.9455445544554325</v>
      </c>
    </row>
    <row r="47" spans="1:12" ht="24.75" customHeight="1">
      <c r="A47" s="48">
        <v>41699</v>
      </c>
      <c r="B47" s="65">
        <f>_xlfn.SUMIFS('検証データ４H'!AD$5:AD$167,'検証データ４H'!V$5:V$167,"&lt;2014/4/1",'検証データ４H'!Z$5:Z$167,"勝ち",'検証データ４H'!M$5:M167,"*①*")-SUM(B$45:B46)</f>
        <v>0</v>
      </c>
      <c r="C47" s="66">
        <f>_xlfn.SUMIFS('検証データ４H'!AD$5:AD$167,'検証データ４H'!V$5:V$167,"&lt;2014/4/1",'検証データ４H'!Z$5:Z$167,"負け",'検証データ４H'!M$5:M167,"*①*")-SUM(C$45:C46)</f>
        <v>-4659.999999999942</v>
      </c>
      <c r="D47" s="68">
        <f t="shared" si="13"/>
        <v>-4659.999999999942</v>
      </c>
      <c r="E47" s="204">
        <f>_xlfn.COUNTIFS('検証データ４H'!V$5:V$167,"&lt;2014/4/1",'検証データ４H'!Z$5:Z$167,"勝ち",'検証データ４H'!M$5:M167,"*①*")-SUM(E$45:E46)</f>
        <v>0</v>
      </c>
      <c r="F47" s="205">
        <f>_xlfn.COUNTIFS('検証データ４H'!V$5:V$167,"&lt;2014/4/1",'検証データ４H'!Z$5:Z$167,"負け",'検証データ４H'!M$5:M167,"*①*")-SUM(F$45:F46)</f>
        <v>2</v>
      </c>
      <c r="G47" s="59">
        <f>SUM(E47+F47)</f>
        <v>2</v>
      </c>
      <c r="H47" s="61">
        <f>E47/G47</f>
        <v>0</v>
      </c>
      <c r="I47" s="206">
        <f>IF(B47&gt;0,B47/E47,0)</f>
        <v>0</v>
      </c>
      <c r="J47" s="62">
        <f t="shared" si="12"/>
        <v>-2329.999999999971</v>
      </c>
      <c r="K47" s="154">
        <f>I47/J47</f>
        <v>0</v>
      </c>
      <c r="L47" s="155">
        <f>B47/C47</f>
        <v>0</v>
      </c>
    </row>
    <row r="48" spans="1:12" ht="24.75" customHeight="1">
      <c r="A48" s="48">
        <v>41730</v>
      </c>
      <c r="B48" s="65">
        <f>_xlfn.SUMIFS('検証データ４H'!AD$5:AD$167,'検証データ４H'!V$5:V$167,"&lt;2014/5/1",'検証データ４H'!Z$5:Z$167,"勝ち",'検証データ４H'!M$5:M167,"*①*")-SUM(B$45:B47)</f>
        <v>11199.999999999905</v>
      </c>
      <c r="C48" s="66">
        <f>_xlfn.SUMIFS('検証データ４H'!AD$5:AD$167,'検証データ４H'!V$5:V$167,"&lt;2014/5/1",'検証データ４H'!Z$5:Z$167,"負け",'検証データ４H'!M$5:M167,"*①*")-SUM(C$45:C47)</f>
        <v>-5029.999999999862</v>
      </c>
      <c r="D48" s="68">
        <f t="shared" si="13"/>
        <v>6170.000000000044</v>
      </c>
      <c r="E48" s="204">
        <f>_xlfn.COUNTIFS('検証データ４H'!V$5:V$167,"&lt;2014/5/1",'検証データ４H'!Z$5:Z$167,"勝ち",'検証データ４H'!M$5:M167,"*①*")-SUM(E$45:E47)</f>
        <v>2</v>
      </c>
      <c r="F48" s="205">
        <f>_xlfn.COUNTIFS('検証データ４H'!V$5:V$167,"&lt;2014/5/1",'検証データ４H'!Z$5:Z$167,"負け",'検証データ４H'!M$5:M167,"*①*")-SUM(F$45:F47)</f>
        <v>3</v>
      </c>
      <c r="G48" s="59">
        <f aca="true" t="shared" si="14" ref="G48:G53">SUM(E48+F48)</f>
        <v>5</v>
      </c>
      <c r="H48" s="61">
        <f>E48/G48</f>
        <v>0.4</v>
      </c>
      <c r="I48" s="62">
        <f t="shared" si="11"/>
        <v>5599.999999999953</v>
      </c>
      <c r="J48" s="62">
        <f t="shared" si="12"/>
        <v>-1676.6666666666206</v>
      </c>
      <c r="K48" s="154">
        <f>I48/J48</f>
        <v>-3.339960238568652</v>
      </c>
      <c r="L48" s="155">
        <f>B48/C48</f>
        <v>-2.226640159045768</v>
      </c>
    </row>
    <row r="49" spans="1:12" ht="24.75" customHeight="1">
      <c r="A49" s="48">
        <v>41760</v>
      </c>
      <c r="B49" s="65">
        <f>_xlfn.SUMIFS('検証データ４H'!AD$5:AD$167,'検証データ４H'!V$5:V$167,"&lt;2014/6/1",'検証データ４H'!Z$5:Z$167,"勝ち",'検証データ４H'!M$5:M167,"*①*")-SUM(B$45:B48)</f>
        <v>2819.9999999999636</v>
      </c>
      <c r="C49" s="66">
        <f>_xlfn.SUMIFS('検証データ４H'!AD$5:AD$167,'検証データ４H'!V$5:V$167,"&lt;2014/6/1",'検証データ４H'!Z$5:Z$167,"負け",'検証データ４H'!M$5:M167,"*①*")-SUM(C$45:C48)</f>
        <v>-12289.999999999847</v>
      </c>
      <c r="D49" s="68">
        <f t="shared" si="13"/>
        <v>-9469.999999999884</v>
      </c>
      <c r="E49" s="204">
        <f>_xlfn.COUNTIFS('検証データ４H'!V$5:V$167,"&lt;2014/6/1",'検証データ４H'!Z$5:Z$167,"勝ち",'検証データ４H'!M$5:M167,"*①*")-SUM(E$45:E48)</f>
        <v>2</v>
      </c>
      <c r="F49" s="205">
        <f>_xlfn.COUNTIFS('検証データ４H'!V$5:V$167,"&lt;2014/6/1",'検証データ４H'!Z$5:Z$167,"負け",'検証データ４H'!M$5:M167,"*①*")-SUM(F$45:F48)</f>
        <v>7</v>
      </c>
      <c r="G49" s="59">
        <f t="shared" si="14"/>
        <v>9</v>
      </c>
      <c r="H49" s="61">
        <f>E49/G49</f>
        <v>0.2222222222222222</v>
      </c>
      <c r="I49" s="62">
        <f t="shared" si="11"/>
        <v>1409.9999999999818</v>
      </c>
      <c r="J49" s="62">
        <f t="shared" si="12"/>
        <v>-1755.714285714264</v>
      </c>
      <c r="K49" s="154">
        <f>I49/J49</f>
        <v>-0.8030919446704634</v>
      </c>
      <c r="L49" s="155">
        <f>B49/C49</f>
        <v>-0.22945484133441812</v>
      </c>
    </row>
    <row r="50" spans="1:12" ht="24.75" customHeight="1">
      <c r="A50" s="48">
        <v>41791</v>
      </c>
      <c r="B50" s="65">
        <f>_xlfn.SUMIFS('検証データ４H'!AD$5:AD$167,'検証データ４H'!V$5:V$167,"&lt;2014/7/1",'検証データ４H'!Z$5:Z$167,"勝ち",'検証データ４H'!M$5:M167,"*①*")-SUM(B$45:B49)</f>
        <v>2149.999999999891</v>
      </c>
      <c r="C50" s="66">
        <f>_xlfn.SUMIFS('検証データ４H'!AD$5:AD$167,'検証データ４H'!V$5:V$167,"&lt;2014/7/1",'検証データ４H'!Z$5:Z$167,"負け",'検証データ４H'!M$5:M167,"*①*")-SUM(C$45:C49)</f>
        <v>-5070.000000000189</v>
      </c>
      <c r="D50" s="68">
        <f t="shared" si="13"/>
        <v>-2920.0000000002983</v>
      </c>
      <c r="E50" s="204">
        <f>_xlfn.COUNTIFS('検証データ４H'!V$5:V$167,"&lt;2014/7/1",'検証データ４H'!Z$5:Z$167,"勝ち",'検証データ４H'!M$5:M167,"*①*")-SUM(E$45:E49)</f>
        <v>2</v>
      </c>
      <c r="F50" s="205">
        <f>_xlfn.COUNTIFS('検証データ４H'!V$5:V$167,"&lt;2014/7/1",'検証データ４H'!Z$5:Z$167,"負け",'検証データ４H'!M$5:M167,"*①*")-SUM(F$45:F49)</f>
        <v>3</v>
      </c>
      <c r="G50" s="59">
        <f t="shared" si="14"/>
        <v>5</v>
      </c>
      <c r="H50" s="61">
        <f>E50/G50</f>
        <v>0.4</v>
      </c>
      <c r="I50" s="62">
        <f t="shared" si="11"/>
        <v>1074.9999999999454</v>
      </c>
      <c r="J50" s="62">
        <f t="shared" si="12"/>
        <v>-1690.000000000063</v>
      </c>
      <c r="K50" s="154">
        <f>I50/J50</f>
        <v>-0.636094674556157</v>
      </c>
      <c r="L50" s="155">
        <f>B50/C50</f>
        <v>-0.4240631163707713</v>
      </c>
    </row>
    <row r="51" spans="1:12" ht="24.75" customHeight="1">
      <c r="A51" s="48">
        <v>41821</v>
      </c>
      <c r="B51" s="65">
        <f>_xlfn.SUMIFS('検証データ４H'!AD$5:AD$167,'検証データ４H'!V$5:V$167,"&lt;2014/8/1",'検証データ４H'!Z$5:Z$167,"勝ち",'検証データ４H'!M$5:M167,"*①*")-SUM(B$45:B50)</f>
        <v>9259.999999999869</v>
      </c>
      <c r="C51" s="66">
        <f>_xlfn.SUMIFS('検証データ４H'!AD$5:AD$167,'検証データ４H'!V$5:V$167,"&lt;2014/8/1",'検証データ４H'!Z$5:Z$167,"負け",'検証データ４H'!M$5:M167,"*①*")-SUM(C$45:C50)</f>
        <v>-9359.999999999927</v>
      </c>
      <c r="D51" s="68">
        <f t="shared" si="13"/>
        <v>-100.00000000005821</v>
      </c>
      <c r="E51" s="204">
        <f>_xlfn.COUNTIFS('検証データ４H'!V$5:V$167,"&lt;2014/8/1",'検証データ４H'!Z$5:Z$167,"勝ち",'検証データ４H'!M$5:M167,"*①*")-SUM(E$45:E50)</f>
        <v>5</v>
      </c>
      <c r="F51" s="205">
        <f>_xlfn.COUNTIFS('検証データ４H'!V$5:V$167,"&lt;2014/8/1",'検証データ４H'!Z$5:Z$167,"負け",'検証データ４H'!M$5:M167,"*①*")-SUM(F$45:F50)</f>
        <v>7</v>
      </c>
      <c r="G51" s="59">
        <f t="shared" si="14"/>
        <v>12</v>
      </c>
      <c r="H51" s="61">
        <f>E51/G51</f>
        <v>0.4166666666666667</v>
      </c>
      <c r="I51" s="62">
        <f t="shared" si="11"/>
        <v>1851.9999999999739</v>
      </c>
      <c r="J51" s="62">
        <f t="shared" si="12"/>
        <v>-1337.1428571428467</v>
      </c>
      <c r="K51" s="154">
        <f>I51/J51</f>
        <v>-1.3850427350427263</v>
      </c>
      <c r="L51" s="155">
        <f>B51/C51</f>
        <v>-0.989316239316233</v>
      </c>
    </row>
    <row r="52" spans="1:12" ht="24.75" customHeight="1">
      <c r="A52" s="48">
        <v>41852</v>
      </c>
      <c r="B52" s="65">
        <f>_xlfn.SUMIFS('検証データ４H'!AD$5:AD$167,'検証データ４H'!V$5:V$167,"&lt;2014/9/1",'検証データ４H'!Z$5:Z$167,"勝ち",'検証データ４H'!M$5:M167,"*①*")-SUM(B$45:B51)</f>
        <v>5390.000000000007</v>
      </c>
      <c r="C52" s="66">
        <f>_xlfn.SUMIFS('検証データ４H'!AD$5:AD$167,'検証データ４H'!V$5:V$167,"&lt;2014/9/1",'検証データ４H'!Z$5:Z$167,"負け",'検証データ４H'!M$5:M167,"*①*")-SUM(C$45:C51)</f>
        <v>-8879.999999999898</v>
      </c>
      <c r="D52" s="68">
        <f t="shared" si="13"/>
        <v>-3489.999999999891</v>
      </c>
      <c r="E52" s="204">
        <f>_xlfn.COUNTIFS('検証データ４H'!V$5:V$167,"&lt;2014/9/1",'検証データ４H'!Z$5:Z$167,"勝ち",'検証データ４H'!M$5:M167,"*①*")-SUM(E$45:E51)</f>
        <v>2</v>
      </c>
      <c r="F52" s="205">
        <f>_xlfn.COUNTIFS('検証データ４H'!V$5:V$167,"&lt;2014/9/1",'検証データ４H'!Z$5:Z$167,"負け",'検証データ４H'!M$5:M167,"*①*")-SUM(F$45:F51)</f>
        <v>4</v>
      </c>
      <c r="G52" s="59">
        <f t="shared" si="14"/>
        <v>6</v>
      </c>
      <c r="H52" s="61">
        <f>E52/G52</f>
        <v>0.3333333333333333</v>
      </c>
      <c r="I52" s="62">
        <f t="shared" si="11"/>
        <v>2695.0000000000036</v>
      </c>
      <c r="J52" s="62">
        <f t="shared" si="12"/>
        <v>-2219.9999999999745</v>
      </c>
      <c r="K52" s="154">
        <f>I52/J52</f>
        <v>-1.2139639639639794</v>
      </c>
      <c r="L52" s="155">
        <f>B52/C52</f>
        <v>-0.6069819819819897</v>
      </c>
    </row>
    <row r="53" spans="1:12" ht="24.75" customHeight="1">
      <c r="A53" s="48">
        <v>41883</v>
      </c>
      <c r="B53" s="65"/>
      <c r="C53" s="66"/>
      <c r="D53" s="68">
        <f aca="true" t="shared" si="15" ref="D48:D53">SUM(B53-C53)</f>
        <v>0</v>
      </c>
      <c r="E53" s="67"/>
      <c r="F53" s="67"/>
      <c r="G53" s="59">
        <f t="shared" si="14"/>
        <v>0</v>
      </c>
      <c r="H53" s="61">
        <f>IF(E53&lt;&gt;"",E53/G53,"")</f>
      </c>
      <c r="I53" s="62">
        <f>IF(B53&lt;&gt;"",B53/E53,"")</f>
      </c>
      <c r="J53" s="62">
        <f>IF(C53&lt;&gt;"",C53/F53,"")</f>
      </c>
      <c r="K53" s="154">
        <f>IF(I53&lt;&gt;"",I53/J53,"")</f>
      </c>
      <c r="L53" s="155">
        <f>IF(B53&lt;&gt;"",B53/C53,"")</f>
      </c>
    </row>
    <row r="54" spans="1:12" ht="24.75" customHeight="1">
      <c r="A54" s="69" t="s">
        <v>18</v>
      </c>
      <c r="B54" s="70">
        <f>SUM(B45:B52)</f>
        <v>70899.99999999959</v>
      </c>
      <c r="C54" s="71">
        <f>SUM(C45:C52)</f>
        <v>-62769.999999999854</v>
      </c>
      <c r="D54" s="72">
        <f>SUM(D45:D52)</f>
        <v>8129.999999999738</v>
      </c>
      <c r="E54" s="73">
        <f>SUM(E45:E53)</f>
        <v>18</v>
      </c>
      <c r="F54" s="74">
        <f>SUM(F45:F53)</f>
        <v>34</v>
      </c>
      <c r="G54" s="73">
        <f>SUM(G45:G53)</f>
        <v>52</v>
      </c>
      <c r="H54" s="75">
        <f>AVERAGE(H45:H53)</f>
        <v>0.31974206349206347</v>
      </c>
      <c r="I54" s="71">
        <f>AVERAGE(I45:I53)</f>
        <v>3487.749999999981</v>
      </c>
      <c r="J54" s="153">
        <f>AVERAGE(J45:J53)</f>
        <v>-1902.5238095238058</v>
      </c>
      <c r="K54" s="156">
        <f>AVERAGE(K45:K53)</f>
        <v>-1.885195897718313</v>
      </c>
      <c r="L54" s="156">
        <f>AVERAGE(L45:L53)</f>
        <v>-1.34519414141382</v>
      </c>
    </row>
    <row r="55" spans="1:12" ht="13.5">
      <c r="A55" s="47"/>
      <c r="J55" s="76"/>
      <c r="K55" s="77" t="s">
        <v>19</v>
      </c>
      <c r="L55" s="77" t="s">
        <v>20</v>
      </c>
    </row>
    <row r="65" ht="13.5" customHeight="1">
      <c r="A65" s="132" t="s">
        <v>89</v>
      </c>
    </row>
    <row r="66" ht="13.5" customHeight="1">
      <c r="A66" t="s">
        <v>84</v>
      </c>
    </row>
    <row r="67" ht="13.5" customHeight="1">
      <c r="A67" s="133" t="s">
        <v>91</v>
      </c>
    </row>
    <row r="68" ht="13.5" customHeight="1">
      <c r="A68" t="s">
        <v>85</v>
      </c>
    </row>
    <row r="69" ht="13.5" customHeight="1">
      <c r="A69" s="133" t="s">
        <v>92</v>
      </c>
    </row>
    <row r="71" ht="13.5" customHeight="1">
      <c r="A71" t="s">
        <v>86</v>
      </c>
    </row>
    <row r="72" ht="13.5" customHeight="1">
      <c r="A72" t="s">
        <v>84</v>
      </c>
    </row>
    <row r="73" ht="13.5" customHeight="1">
      <c r="A73" t="s">
        <v>87</v>
      </c>
    </row>
    <row r="74" ht="13.5" customHeight="1">
      <c r="A74" t="s">
        <v>85</v>
      </c>
    </row>
    <row r="75" ht="13.5" customHeight="1">
      <c r="A75" t="s">
        <v>88</v>
      </c>
    </row>
    <row r="77" ht="13.5" customHeight="1">
      <c r="A77" t="s">
        <v>93</v>
      </c>
    </row>
    <row r="78" ht="13.5" customHeight="1">
      <c r="A78" t="s">
        <v>100</v>
      </c>
    </row>
    <row r="80" ht="13.5" customHeight="1">
      <c r="A80" t="s">
        <v>103</v>
      </c>
    </row>
    <row r="81" ht="13.5" customHeight="1">
      <c r="A81" t="s">
        <v>104</v>
      </c>
    </row>
  </sheetData>
  <sheetProtection/>
  <mergeCells count="5">
    <mergeCell ref="B1:D1"/>
    <mergeCell ref="F1:G1"/>
    <mergeCell ref="B2:D2"/>
    <mergeCell ref="F2:G2"/>
    <mergeCell ref="B3:D3"/>
  </mergeCells>
  <printOptions/>
  <pageMargins left="0.6986111111111111" right="0.6986111111111111" top="0.75" bottom="0.75" header="0.3" footer="0.3"/>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B5:I34"/>
  <sheetViews>
    <sheetView zoomScalePageLayoutView="0" workbookViewId="0" topLeftCell="A1">
      <selection activeCell="A1" sqref="A1"/>
    </sheetView>
  </sheetViews>
  <sheetFormatPr defaultColWidth="9.00390625" defaultRowHeight="13.5"/>
  <cols>
    <col min="2" max="2" width="17.25390625" style="0" bestFit="1" customWidth="1"/>
    <col min="5" max="5" width="15.625" style="0" bestFit="1" customWidth="1"/>
    <col min="6" max="6" width="2.50390625" style="0" bestFit="1" customWidth="1"/>
    <col min="7" max="7" width="4.625" style="0" bestFit="1" customWidth="1"/>
    <col min="8" max="8" width="4.375" style="0" bestFit="1" customWidth="1"/>
    <col min="9" max="9" width="8.25390625" style="0" bestFit="1" customWidth="1"/>
  </cols>
  <sheetData>
    <row r="4" ht="14.25" thickBot="1"/>
    <row r="5" spans="2:8" ht="14.25" thickBot="1">
      <c r="B5" s="185" t="s">
        <v>29</v>
      </c>
      <c r="C5" s="186"/>
      <c r="E5" s="187" t="s">
        <v>30</v>
      </c>
      <c r="F5" s="188"/>
      <c r="G5" s="25" t="s">
        <v>31</v>
      </c>
      <c r="H5" s="28" t="s">
        <v>32</v>
      </c>
    </row>
    <row r="6" spans="2:8" ht="13.5">
      <c r="B6" s="5" t="s">
        <v>33</v>
      </c>
      <c r="C6" s="6"/>
      <c r="E6" s="5"/>
      <c r="F6" s="12"/>
      <c r="G6" s="18"/>
      <c r="H6" s="21"/>
    </row>
    <row r="7" spans="2:8" ht="13.5">
      <c r="B7" s="2" t="s">
        <v>34</v>
      </c>
      <c r="C7" s="1"/>
      <c r="E7" s="2"/>
      <c r="F7" s="14"/>
      <c r="G7" s="19"/>
      <c r="H7" s="15"/>
    </row>
    <row r="8" spans="2:8" ht="13.5">
      <c r="B8" s="2" t="s">
        <v>35</v>
      </c>
      <c r="C8" s="1"/>
      <c r="E8" s="2"/>
      <c r="F8" s="14"/>
      <c r="G8" s="19"/>
      <c r="H8" s="15"/>
    </row>
    <row r="9" spans="2:8" ht="13.5">
      <c r="B9" s="2" t="s">
        <v>36</v>
      </c>
      <c r="C9" s="1"/>
      <c r="E9" s="2"/>
      <c r="F9" s="14"/>
      <c r="G9" s="19"/>
      <c r="H9" s="15"/>
    </row>
    <row r="10" spans="2:8" ht="13.5">
      <c r="B10" s="2" t="s">
        <v>37</v>
      </c>
      <c r="C10" s="1"/>
      <c r="E10" s="2"/>
      <c r="F10" s="14"/>
      <c r="G10" s="19"/>
      <c r="H10" s="15"/>
    </row>
    <row r="11" spans="2:8" ht="13.5">
      <c r="B11" s="2" t="s">
        <v>38</v>
      </c>
      <c r="C11" s="4"/>
      <c r="E11" s="2"/>
      <c r="F11" s="14"/>
      <c r="G11" s="19"/>
      <c r="H11" s="15"/>
    </row>
    <row r="12" spans="2:8" ht="13.5">
      <c r="B12" s="2" t="s">
        <v>39</v>
      </c>
      <c r="C12" s="1"/>
      <c r="E12" s="2"/>
      <c r="F12" s="14"/>
      <c r="G12" s="19"/>
      <c r="H12" s="15"/>
    </row>
    <row r="13" spans="2:8" ht="13.5">
      <c r="B13" s="8" t="s">
        <v>40</v>
      </c>
      <c r="C13" s="9"/>
      <c r="E13" s="2"/>
      <c r="F13" s="14"/>
      <c r="G13" s="19"/>
      <c r="H13" s="15"/>
    </row>
    <row r="14" spans="2:8" ht="13.5">
      <c r="B14" s="2" t="s">
        <v>41</v>
      </c>
      <c r="C14" s="1"/>
      <c r="E14" s="2"/>
      <c r="F14" s="14"/>
      <c r="G14" s="19"/>
      <c r="H14" s="15"/>
    </row>
    <row r="15" spans="2:8" ht="13.5">
      <c r="B15" s="2" t="s">
        <v>42</v>
      </c>
      <c r="C15" s="4"/>
      <c r="E15" s="2"/>
      <c r="F15" s="14"/>
      <c r="G15" s="19"/>
      <c r="H15" s="15"/>
    </row>
    <row r="16" spans="2:8" ht="13.5">
      <c r="B16" s="2" t="s">
        <v>43</v>
      </c>
      <c r="C16" s="1"/>
      <c r="E16" s="5"/>
      <c r="F16" s="12"/>
      <c r="G16" s="18"/>
      <c r="H16" s="13"/>
    </row>
    <row r="17" spans="2:8" ht="13.5">
      <c r="B17" s="2" t="s">
        <v>14</v>
      </c>
      <c r="C17" s="10"/>
      <c r="E17" s="2"/>
      <c r="F17" s="14"/>
      <c r="G17" s="19"/>
      <c r="H17" s="15"/>
    </row>
    <row r="18" spans="2:8" ht="13.5">
      <c r="B18" s="2" t="s">
        <v>15</v>
      </c>
      <c r="C18" s="10"/>
      <c r="E18" s="2"/>
      <c r="F18" s="14"/>
      <c r="G18" s="19"/>
      <c r="H18" s="15"/>
    </row>
    <row r="19" spans="2:8" ht="13.5">
      <c r="B19" s="2" t="s">
        <v>44</v>
      </c>
      <c r="C19" s="1"/>
      <c r="E19" s="2"/>
      <c r="F19" s="14"/>
      <c r="G19" s="19"/>
      <c r="H19" s="15"/>
    </row>
    <row r="20" spans="2:8" ht="13.5">
      <c r="B20" s="2" t="s">
        <v>45</v>
      </c>
      <c r="C20" s="1"/>
      <c r="E20" s="2"/>
      <c r="F20" s="14"/>
      <c r="G20" s="19"/>
      <c r="H20" s="15"/>
    </row>
    <row r="21" spans="2:8" ht="13.5">
      <c r="B21" s="2" t="s">
        <v>46</v>
      </c>
      <c r="C21" s="11"/>
      <c r="E21" s="2"/>
      <c r="F21" s="14"/>
      <c r="G21" s="19"/>
      <c r="H21" s="15"/>
    </row>
    <row r="22" spans="2:8" ht="14.25" thickBot="1">
      <c r="B22" s="3" t="s">
        <v>13</v>
      </c>
      <c r="C22" s="7"/>
      <c r="E22" s="2"/>
      <c r="F22" s="14"/>
      <c r="G22" s="19"/>
      <c r="H22" s="15"/>
    </row>
    <row r="23" spans="5:8" ht="13.5">
      <c r="E23" s="2"/>
      <c r="F23" s="14"/>
      <c r="G23" s="19"/>
      <c r="H23" s="15"/>
    </row>
    <row r="24" spans="5:8" ht="14.25" thickBot="1">
      <c r="E24" s="3"/>
      <c r="F24" s="16"/>
      <c r="G24" s="20"/>
      <c r="H24" s="17"/>
    </row>
    <row r="25" spans="5:8" ht="14.25" thickBot="1">
      <c r="E25" s="35" t="s">
        <v>28</v>
      </c>
      <c r="F25" s="38">
        <f>SUM(F6:F24)</f>
        <v>0</v>
      </c>
      <c r="G25" s="38">
        <f>SUM(G6:G24)</f>
        <v>0</v>
      </c>
      <c r="H25" s="38">
        <f>SUM(H6:H24)</f>
        <v>0</v>
      </c>
    </row>
    <row r="27" ht="14.25" thickBot="1"/>
    <row r="28" spans="5:9" ht="14.25" thickBot="1">
      <c r="E28" s="187" t="s">
        <v>47</v>
      </c>
      <c r="F28" s="188"/>
      <c r="G28" s="25" t="s">
        <v>31</v>
      </c>
      <c r="H28" s="26" t="s">
        <v>32</v>
      </c>
      <c r="I28" s="27" t="s">
        <v>48</v>
      </c>
    </row>
    <row r="29" spans="5:9" ht="13.5">
      <c r="E29" s="5" t="s">
        <v>49</v>
      </c>
      <c r="F29" s="12">
        <v>0</v>
      </c>
      <c r="G29" s="18">
        <v>0</v>
      </c>
      <c r="H29" s="22">
        <v>0</v>
      </c>
      <c r="I29" s="23">
        <v>0</v>
      </c>
    </row>
    <row r="30" spans="5:9" ht="13.5">
      <c r="E30" s="2" t="s">
        <v>50</v>
      </c>
      <c r="F30" s="14">
        <v>0</v>
      </c>
      <c r="G30" s="14">
        <v>0</v>
      </c>
      <c r="H30" s="19">
        <v>0</v>
      </c>
      <c r="I30" s="24">
        <v>0</v>
      </c>
    </row>
    <row r="31" spans="5:9" ht="13.5">
      <c r="E31" s="2" t="s">
        <v>51</v>
      </c>
      <c r="F31" s="14">
        <v>0</v>
      </c>
      <c r="G31" s="14">
        <v>0</v>
      </c>
      <c r="H31" s="19">
        <v>0</v>
      </c>
      <c r="I31" s="24">
        <v>0</v>
      </c>
    </row>
    <row r="32" spans="5:9" ht="13.5">
      <c r="E32" s="2" t="s">
        <v>52</v>
      </c>
      <c r="F32" s="14">
        <v>0</v>
      </c>
      <c r="G32" s="14">
        <v>0</v>
      </c>
      <c r="H32" s="19">
        <v>0</v>
      </c>
      <c r="I32" s="24">
        <v>0</v>
      </c>
    </row>
    <row r="33" spans="5:9" ht="14.25" thickBot="1">
      <c r="E33" s="30" t="s">
        <v>53</v>
      </c>
      <c r="F33" s="31">
        <v>0</v>
      </c>
      <c r="G33" s="31">
        <v>0</v>
      </c>
      <c r="H33" s="32">
        <v>0</v>
      </c>
      <c r="I33" s="33">
        <v>0</v>
      </c>
    </row>
    <row r="34" spans="5:9" ht="14.25" thickBot="1">
      <c r="E34" s="29" t="s">
        <v>28</v>
      </c>
      <c r="F34" s="29"/>
      <c r="G34" s="29"/>
      <c r="H34" s="34"/>
      <c r="I34" s="105">
        <f>SUM(I29:I33)</f>
        <v>0</v>
      </c>
    </row>
  </sheetData>
  <sheetProtection/>
  <mergeCells count="3">
    <mergeCell ref="B5:C5"/>
    <mergeCell ref="E5:F5"/>
    <mergeCell ref="E28:F2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L112"/>
  <sheetViews>
    <sheetView zoomScale="90" zoomScaleNormal="90" zoomScaleSheetLayoutView="100"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E3" sqref="E3"/>
    </sheetView>
  </sheetViews>
  <sheetFormatPr defaultColWidth="10.00390625" defaultRowHeight="13.5" customHeight="1"/>
  <cols>
    <col min="1" max="1" width="3.375" style="0" bestFit="1" customWidth="1"/>
    <col min="2" max="2" width="10.375" style="0" bestFit="1" customWidth="1"/>
    <col min="3" max="3" width="7.625" style="0" bestFit="1" customWidth="1"/>
    <col min="4" max="4" width="8.50390625" style="0" bestFit="1" customWidth="1"/>
    <col min="5" max="5" width="6.50390625" style="0" bestFit="1" customWidth="1"/>
    <col min="6" max="6" width="9.50390625" style="0" bestFit="1" customWidth="1"/>
    <col min="7" max="7" width="7.125" style="0" bestFit="1" customWidth="1"/>
    <col min="8" max="8" width="5.25390625" style="0" bestFit="1" customWidth="1"/>
    <col min="9" max="9" width="16.125" style="0" bestFit="1" customWidth="1"/>
    <col min="10" max="10" width="8.50390625" style="0" bestFit="1" customWidth="1"/>
    <col min="11" max="11" width="16.625" style="0" customWidth="1"/>
    <col min="12" max="12" width="8.50390625" style="0" bestFit="1" customWidth="1"/>
    <col min="13" max="13" width="8.50390625" style="0" hidden="1" customWidth="1"/>
    <col min="14" max="14" width="6.625" style="0" bestFit="1" customWidth="1"/>
    <col min="15" max="15" width="8.375" style="0" bestFit="1" customWidth="1"/>
    <col min="16" max="16" width="7.625" style="0" bestFit="1" customWidth="1"/>
    <col min="17" max="17" width="5.25390625" style="0" bestFit="1" customWidth="1"/>
    <col min="18" max="18" width="7.125" style="0" bestFit="1" customWidth="1"/>
    <col min="19" max="19" width="11.625" style="0" bestFit="1" customWidth="1"/>
    <col min="20" max="20" width="8.50390625" style="0" bestFit="1" customWidth="1"/>
    <col min="21" max="21" width="14.75390625" style="0" bestFit="1" customWidth="1"/>
    <col min="22" max="22" width="5.25390625" style="0" bestFit="1" customWidth="1"/>
    <col min="23" max="23" width="9.50390625" style="0" bestFit="1" customWidth="1"/>
    <col min="24" max="24" width="8.50390625" style="0" bestFit="1" customWidth="1"/>
    <col min="25" max="25" width="8.25390625" style="0" bestFit="1" customWidth="1"/>
    <col min="26" max="26" width="7.50390625" style="0" bestFit="1" customWidth="1"/>
    <col min="27" max="27" width="7.50390625" style="0" customWidth="1"/>
    <col min="28" max="28" width="10.375" style="0" bestFit="1" customWidth="1"/>
    <col min="29" max="29" width="10.375" style="0" customWidth="1"/>
  </cols>
  <sheetData>
    <row r="1" spans="1:21" ht="13.5" customHeight="1" thickBot="1">
      <c r="A1" s="192" t="s">
        <v>78</v>
      </c>
      <c r="B1" s="193"/>
      <c r="C1" s="193"/>
      <c r="D1" s="193"/>
      <c r="E1" s="193"/>
      <c r="F1" s="194"/>
      <c r="G1" s="191" t="s">
        <v>76</v>
      </c>
      <c r="H1" s="191"/>
      <c r="I1" s="191"/>
      <c r="J1" s="191"/>
      <c r="K1" s="191"/>
      <c r="L1" s="191"/>
      <c r="M1" s="191"/>
      <c r="N1" s="191"/>
      <c r="O1" s="191"/>
      <c r="P1" s="191"/>
      <c r="Q1" s="191"/>
      <c r="R1" s="189" t="s">
        <v>71</v>
      </c>
      <c r="S1" s="190"/>
      <c r="T1" s="190"/>
      <c r="U1" s="190"/>
    </row>
    <row r="2" spans="1:34" ht="27.75" thickBot="1">
      <c r="A2" s="118" t="s">
        <v>68</v>
      </c>
      <c r="B2" s="117" t="s">
        <v>67</v>
      </c>
      <c r="C2" s="117" t="s">
        <v>69</v>
      </c>
      <c r="D2" s="117" t="s">
        <v>81</v>
      </c>
      <c r="E2" s="118" t="s">
        <v>70</v>
      </c>
      <c r="F2" s="119" t="s">
        <v>21</v>
      </c>
      <c r="G2" s="122" t="s">
        <v>23</v>
      </c>
      <c r="H2" s="122" t="s">
        <v>22</v>
      </c>
      <c r="I2" s="130" t="s">
        <v>236</v>
      </c>
      <c r="J2" s="122" t="s">
        <v>74</v>
      </c>
      <c r="K2" s="122" t="s">
        <v>77</v>
      </c>
      <c r="L2" s="122" t="s">
        <v>82</v>
      </c>
      <c r="M2" s="130" t="s">
        <v>127</v>
      </c>
      <c r="N2" s="130" t="s">
        <v>83</v>
      </c>
      <c r="O2" s="130" t="s">
        <v>96</v>
      </c>
      <c r="P2" s="130" t="s">
        <v>105</v>
      </c>
      <c r="Q2" s="130" t="s">
        <v>165</v>
      </c>
      <c r="R2" s="120" t="s">
        <v>72</v>
      </c>
      <c r="S2" s="121" t="s">
        <v>73</v>
      </c>
      <c r="T2" s="121" t="s">
        <v>74</v>
      </c>
      <c r="U2" s="121" t="s">
        <v>75</v>
      </c>
      <c r="V2" s="116" t="s">
        <v>24</v>
      </c>
      <c r="W2" s="116" t="s">
        <v>79</v>
      </c>
      <c r="X2" s="36" t="s">
        <v>25</v>
      </c>
      <c r="Y2" s="106" t="s">
        <v>26</v>
      </c>
      <c r="Z2" s="37" t="s">
        <v>27</v>
      </c>
      <c r="AA2" s="143" t="s">
        <v>130</v>
      </c>
      <c r="AB2" s="143" t="s">
        <v>240</v>
      </c>
      <c r="AC2" s="148" t="s">
        <v>239</v>
      </c>
      <c r="AD2" s="148" t="s">
        <v>81</v>
      </c>
      <c r="AE2" s="148" t="s">
        <v>238</v>
      </c>
      <c r="AF2" s="149" t="s">
        <v>242</v>
      </c>
      <c r="AG2" s="149" t="s">
        <v>244</v>
      </c>
      <c r="AH2" s="148" t="s">
        <v>243</v>
      </c>
    </row>
    <row r="3" spans="1:34" ht="13.5" customHeight="1">
      <c r="A3" s="125">
        <f>IF($F3&lt;&gt;"",ROW()-2,"")</f>
        <v>1</v>
      </c>
      <c r="B3" s="128">
        <f>'ルール＆合計'!B2:D2</f>
        <v>1000000</v>
      </c>
      <c r="C3" s="129">
        <f>'ルール＆合計'!$F$3</f>
        <v>0.02</v>
      </c>
      <c r="D3" s="128">
        <f>B3*C3</f>
        <v>20000</v>
      </c>
      <c r="E3" s="131">
        <v>10000</v>
      </c>
      <c r="F3" s="123" t="s">
        <v>90</v>
      </c>
      <c r="G3" s="113" t="s">
        <v>63</v>
      </c>
      <c r="H3" s="123" t="s">
        <v>80</v>
      </c>
      <c r="I3" s="135">
        <v>41278</v>
      </c>
      <c r="J3">
        <v>88.408</v>
      </c>
      <c r="K3" s="123" t="s">
        <v>166</v>
      </c>
      <c r="L3" s="123">
        <v>88.143</v>
      </c>
      <c r="M3" s="123"/>
      <c r="N3" s="125">
        <f>IF(L3&lt;&gt;"",ABS(L3-J3)/IF(RIGHT(F3,3)="JPY",0.01,0.0001),"")</f>
        <v>26.500000000000057</v>
      </c>
      <c r="O3" s="138">
        <f>IF(N3&lt;&gt;"",D3/N3,"")</f>
        <v>754.7169811320739</v>
      </c>
      <c r="P3" s="125">
        <f>IF(O3&lt;&gt;"",ROUNDDOWN(B3*C3/N3/J3,2),"")</f>
        <v>8.53</v>
      </c>
      <c r="Q3">
        <v>0</v>
      </c>
      <c r="R3" s="123" t="s">
        <v>63</v>
      </c>
      <c r="S3" s="134"/>
      <c r="T3">
        <v>88.408</v>
      </c>
      <c r="U3" t="s">
        <v>178</v>
      </c>
      <c r="V3" s="124" t="str">
        <f>IF(H3&lt;&gt;"",IF(H3="買い",IF(W3&gt;0,"勝ち","負け"),IF(H3="売り",IF(W3&gt;0,"負け","勝ち"))),"")</f>
        <v>負け</v>
      </c>
      <c r="W3" s="125">
        <f>T3-J3</f>
        <v>0</v>
      </c>
      <c r="X3" s="125">
        <f>IF(V3&lt;&gt;"",IF(V3="勝ち",W3/0.01,0),0)</f>
        <v>0</v>
      </c>
      <c r="Y3" s="137">
        <f>IF(V3&lt;&gt;"",IF(V3="負け",W3/0.01,0),"")</f>
        <v>0</v>
      </c>
      <c r="Z3" s="125">
        <f>IF(V3&lt;&gt;"",IF(V3="勝ち",IF(W3&gt;0,W3*E3,ABS(W3*E3)),IF(V3="負け",IF(W3&gt;0,(W3*E3)*-1,W3*E3),"")),"")</f>
        <v>0</v>
      </c>
      <c r="AA3" s="125">
        <f>IF(V3&lt;&gt;"",IF(V3="勝ち",IF(W3&gt;0,W3*E3,ABS(W3*E3)),IF(V3="負け",IF(W3&gt;0,(W3*E3)*-1,W3*E3),""))*Q3,"")</f>
        <v>0</v>
      </c>
      <c r="AB3" s="144">
        <f>B3</f>
        <v>1000000</v>
      </c>
      <c r="AC3" s="144">
        <f>B3</f>
        <v>1000000</v>
      </c>
      <c r="AD3" s="144">
        <f>AC3*C3</f>
        <v>20000</v>
      </c>
      <c r="AE3" s="147">
        <f>AD3/N3</f>
        <v>754.7169811320739</v>
      </c>
      <c r="AF3">
        <f>IF(O3&lt;&gt;"",ROUNDDOWN(AD3/N3/J3,2),"")</f>
        <v>8.53</v>
      </c>
      <c r="AG3">
        <v>8</v>
      </c>
      <c r="AH3">
        <f>Z3*AG3</f>
        <v>0</v>
      </c>
    </row>
    <row r="4" spans="1:34" ht="13.5">
      <c r="A4" s="125">
        <f>IF($F4&lt;&gt;"",ROW()-2,"")</f>
        <v>2</v>
      </c>
      <c r="B4" s="125">
        <f>IF(V3&lt;&gt;"",B3+ROUND(Z3,0),"")</f>
        <v>1000000</v>
      </c>
      <c r="C4" s="129">
        <f>'ルール＆合計'!$F$3</f>
        <v>0.02</v>
      </c>
      <c r="D4" s="128">
        <f aca="true" t="shared" si="0" ref="D4:D67">B4*C4</f>
        <v>20000</v>
      </c>
      <c r="E4" s="131">
        <v>10000</v>
      </c>
      <c r="F4" s="123" t="s">
        <v>90</v>
      </c>
      <c r="G4" s="113" t="s">
        <v>63</v>
      </c>
      <c r="H4" s="123" t="s">
        <v>80</v>
      </c>
      <c r="I4" s="135">
        <v>41283</v>
      </c>
      <c r="J4">
        <v>88.012</v>
      </c>
      <c r="K4" s="123" t="s">
        <v>166</v>
      </c>
      <c r="L4" s="145">
        <v>86.825</v>
      </c>
      <c r="N4" s="125">
        <f aca="true" t="shared" si="1" ref="N4:N67">IF(L4&lt;&gt;"",ABS(L4-J4)/0.01,"")</f>
        <v>118.69999999999976</v>
      </c>
      <c r="O4" s="138">
        <f>IF(N4&lt;&gt;"",D4/N4,"")</f>
        <v>168.4919966301604</v>
      </c>
      <c r="P4" s="125">
        <f aca="true" t="shared" si="2" ref="P4:P67">IF(O4&lt;&gt;"",ROUNDDOWN(B4*C4/N4/J4,2),"")</f>
        <v>1.91</v>
      </c>
      <c r="Q4">
        <v>1</v>
      </c>
      <c r="R4" s="123" t="s">
        <v>63</v>
      </c>
      <c r="S4" s="134">
        <v>41295</v>
      </c>
      <c r="T4">
        <v>89.335</v>
      </c>
      <c r="U4" t="s">
        <v>179</v>
      </c>
      <c r="V4" s="125" t="str">
        <f aca="true" t="shared" si="3" ref="V4:V67">IF(H4&lt;&gt;"",IF(H4="買い",IF(W4&gt;0,"勝ち","負け"),IF(H4="売り",IF(W4&gt;0,"負け","勝ち"))),"")</f>
        <v>勝ち</v>
      </c>
      <c r="W4" s="125">
        <f>IF(T4&lt;&gt;"",T4-J4,"")</f>
        <v>1.3229999999999933</v>
      </c>
      <c r="X4" s="126">
        <f>IF(V4&lt;&gt;"",IF(V4="勝ち",W4/0.01,0),"")</f>
        <v>132.29999999999933</v>
      </c>
      <c r="Y4" s="126">
        <f aca="true" t="shared" si="4" ref="Y4:Y67">IF(V4&lt;&gt;"",IF(V4="負け",W4/0.01,0),"")</f>
        <v>0</v>
      </c>
      <c r="Z4" s="125">
        <f aca="true" t="shared" si="5" ref="Z4:Z67">IF(V4&lt;&gt;"",IF(V4="勝ち",IF(W4&gt;0,W4*E4,ABS(W4*E4)),IF(V4="負け",IF(W4&gt;0,(W4*E4)*-1,W4*E4),"")),"")</f>
        <v>13229.999999999933</v>
      </c>
      <c r="AA4" s="125">
        <f aca="true" t="shared" si="6" ref="AA4:AA68">IF(V4&lt;&gt;"",IF(V4="勝ち",IF(W4&gt;0,W4*E4,ABS(W4*E4)),IF(V4="負け",IF(W4&gt;0,(W4*E4)*-1,W4*E4),""))*Q4,"")</f>
        <v>13229.999999999933</v>
      </c>
      <c r="AB4" s="144">
        <f>AB3+AA4</f>
        <v>1013229.9999999999</v>
      </c>
      <c r="AC4" s="144">
        <f>AC3+AH3</f>
        <v>1000000</v>
      </c>
      <c r="AD4" s="144">
        <f aca="true" t="shared" si="7" ref="AD4:AD67">AC4*C4</f>
        <v>20000</v>
      </c>
      <c r="AE4" s="147">
        <f aca="true" t="shared" si="8" ref="AE4:AE68">AD4/N4</f>
        <v>168.4919966301604</v>
      </c>
      <c r="AF4">
        <f aca="true" t="shared" si="9" ref="AF4:AF68">IF(O4&lt;&gt;"",ROUNDDOWN(AD4/N4/J4,2),"")</f>
        <v>1.91</v>
      </c>
      <c r="AG4">
        <v>1</v>
      </c>
      <c r="AH4">
        <f aca="true" t="shared" si="10" ref="AH4:AH67">Z4*AG4</f>
        <v>13229.999999999933</v>
      </c>
    </row>
    <row r="5" spans="1:34" ht="13.5">
      <c r="A5" s="125">
        <f aca="true" t="shared" si="11" ref="A5:A68">IF($F5&lt;&gt;"",ROW()-2,"")</f>
        <v>3</v>
      </c>
      <c r="B5" s="125">
        <f aca="true" t="shared" si="12" ref="B5:B68">IF(V4&lt;&gt;"",B4+ROUND(Z4,0),"")</f>
        <v>1013230</v>
      </c>
      <c r="C5" s="129">
        <f>'ルール＆合計'!$F$3</f>
        <v>0.02</v>
      </c>
      <c r="D5" s="128">
        <f t="shared" si="0"/>
        <v>20264.600000000002</v>
      </c>
      <c r="E5" s="131">
        <v>10000</v>
      </c>
      <c r="F5" s="123" t="s">
        <v>90</v>
      </c>
      <c r="G5" s="113" t="s">
        <v>63</v>
      </c>
      <c r="H5" t="s">
        <v>80</v>
      </c>
      <c r="I5" s="135">
        <v>41289</v>
      </c>
      <c r="J5">
        <v>88.283</v>
      </c>
      <c r="K5" t="s">
        <v>167</v>
      </c>
      <c r="L5">
        <v>86.629</v>
      </c>
      <c r="N5" s="125">
        <f t="shared" si="1"/>
        <v>165.39999999999964</v>
      </c>
      <c r="O5" s="138">
        <f>IF(N5&lt;&gt;"",D5/N5,"")</f>
        <v>122.51874244256376</v>
      </c>
      <c r="P5" s="125">
        <f t="shared" si="2"/>
        <v>1.38</v>
      </c>
      <c r="Q5">
        <v>1</v>
      </c>
      <c r="R5" s="123" t="s">
        <v>63</v>
      </c>
      <c r="S5" s="135"/>
      <c r="T5">
        <v>88.283</v>
      </c>
      <c r="U5" t="s">
        <v>180</v>
      </c>
      <c r="V5" s="125" t="str">
        <f t="shared" si="3"/>
        <v>負け</v>
      </c>
      <c r="W5" s="125">
        <f aca="true" t="shared" si="13" ref="W5:W68">IF(T5&lt;&gt;"",T5-J5,"")</f>
        <v>0</v>
      </c>
      <c r="X5" s="126">
        <f aca="true" t="shared" si="14" ref="X5:X68">IF(V5&lt;&gt;"",IF(V5="勝ち",W5/0.01,0),"")</f>
        <v>0</v>
      </c>
      <c r="Y5" s="126">
        <f t="shared" si="4"/>
        <v>0</v>
      </c>
      <c r="Z5" s="125">
        <f t="shared" si="5"/>
        <v>0</v>
      </c>
      <c r="AA5" s="125">
        <f t="shared" si="6"/>
        <v>0</v>
      </c>
      <c r="AB5" s="144">
        <f aca="true" t="shared" si="15" ref="AB5:AB68">AB4+AA4</f>
        <v>1026459.9999999998</v>
      </c>
      <c r="AC5" s="144">
        <f aca="true" t="shared" si="16" ref="AC5:AC68">AC4+AH4</f>
        <v>1013229.9999999999</v>
      </c>
      <c r="AD5" s="144">
        <f t="shared" si="7"/>
        <v>20264.6</v>
      </c>
      <c r="AE5" s="147">
        <f t="shared" si="8"/>
        <v>122.51874244256375</v>
      </c>
      <c r="AF5">
        <f t="shared" si="9"/>
        <v>1.38</v>
      </c>
      <c r="AG5">
        <v>1</v>
      </c>
      <c r="AH5">
        <f t="shared" si="10"/>
        <v>0</v>
      </c>
    </row>
    <row r="6" spans="1:34" ht="13.5">
      <c r="A6" s="125">
        <f t="shared" si="11"/>
        <v>4</v>
      </c>
      <c r="B6" s="125">
        <f t="shared" si="12"/>
        <v>1013230</v>
      </c>
      <c r="C6" s="129">
        <f>'ルール＆合計'!$F$3</f>
        <v>0.02</v>
      </c>
      <c r="D6" s="128">
        <f t="shared" si="0"/>
        <v>20264.600000000002</v>
      </c>
      <c r="E6" s="131">
        <v>10000</v>
      </c>
      <c r="F6" s="123" t="s">
        <v>90</v>
      </c>
      <c r="G6" s="113" t="s">
        <v>63</v>
      </c>
      <c r="H6" t="s">
        <v>80</v>
      </c>
      <c r="I6" s="135">
        <v>41295</v>
      </c>
      <c r="J6">
        <v>90.244</v>
      </c>
      <c r="K6" t="s">
        <v>167</v>
      </c>
      <c r="L6">
        <v>89.335</v>
      </c>
      <c r="N6" s="125">
        <f t="shared" si="1"/>
        <v>90.9000000000006</v>
      </c>
      <c r="O6" s="138">
        <f aca="true" t="shared" si="17" ref="O6:O69">IF(N6&lt;&gt;"",D6/N6,"")</f>
        <v>222.93289328932747</v>
      </c>
      <c r="P6" s="125">
        <f t="shared" si="2"/>
        <v>2.47</v>
      </c>
      <c r="Q6">
        <v>2</v>
      </c>
      <c r="R6" s="123" t="s">
        <v>63</v>
      </c>
      <c r="S6" s="135">
        <v>41290</v>
      </c>
      <c r="T6">
        <v>89.335</v>
      </c>
      <c r="U6" t="s">
        <v>97</v>
      </c>
      <c r="V6" s="125" t="str">
        <f t="shared" si="3"/>
        <v>負け</v>
      </c>
      <c r="W6" s="125">
        <f t="shared" si="13"/>
        <v>-0.909000000000006</v>
      </c>
      <c r="X6" s="126">
        <f t="shared" si="14"/>
        <v>0</v>
      </c>
      <c r="Y6" s="126">
        <f t="shared" si="4"/>
        <v>-90.9000000000006</v>
      </c>
      <c r="Z6" s="125">
        <f t="shared" si="5"/>
        <v>-9090.00000000006</v>
      </c>
      <c r="AA6" s="125">
        <f t="shared" si="6"/>
        <v>-18180.00000000012</v>
      </c>
      <c r="AB6" s="144">
        <f t="shared" si="15"/>
        <v>1026459.9999999998</v>
      </c>
      <c r="AC6" s="144">
        <f t="shared" si="16"/>
        <v>1013229.9999999999</v>
      </c>
      <c r="AD6" s="144">
        <f t="shared" si="7"/>
        <v>20264.6</v>
      </c>
      <c r="AE6" s="147">
        <f t="shared" si="8"/>
        <v>222.93289328932744</v>
      </c>
      <c r="AF6">
        <f t="shared" si="9"/>
        <v>2.47</v>
      </c>
      <c r="AG6">
        <v>2</v>
      </c>
      <c r="AH6">
        <f t="shared" si="10"/>
        <v>-18180.00000000012</v>
      </c>
    </row>
    <row r="7" spans="1:34" ht="13.5">
      <c r="A7" s="125">
        <f t="shared" si="11"/>
        <v>5</v>
      </c>
      <c r="B7" s="125">
        <f t="shared" si="12"/>
        <v>1004140</v>
      </c>
      <c r="C7" s="129">
        <f>'ルール＆合計'!$F$3</f>
        <v>0.02</v>
      </c>
      <c r="D7" s="128">
        <f t="shared" si="0"/>
        <v>20082.8</v>
      </c>
      <c r="E7" s="131">
        <v>10000</v>
      </c>
      <c r="F7" s="123" t="s">
        <v>90</v>
      </c>
      <c r="G7" s="113" t="s">
        <v>63</v>
      </c>
      <c r="H7" t="s">
        <v>80</v>
      </c>
      <c r="I7" s="135">
        <v>41298</v>
      </c>
      <c r="J7">
        <v>90.546</v>
      </c>
      <c r="K7" t="s">
        <v>166</v>
      </c>
      <c r="L7">
        <v>88.413</v>
      </c>
      <c r="N7" s="125">
        <f t="shared" si="1"/>
        <v>213.30000000000098</v>
      </c>
      <c r="O7" s="138">
        <f t="shared" si="17"/>
        <v>94.15283638068405</v>
      </c>
      <c r="P7" s="125">
        <f t="shared" si="2"/>
        <v>1.03</v>
      </c>
      <c r="Q7">
        <v>1</v>
      </c>
      <c r="R7" s="123" t="s">
        <v>63</v>
      </c>
      <c r="S7" s="135">
        <v>41326</v>
      </c>
      <c r="T7">
        <v>92.771</v>
      </c>
      <c r="U7" t="s">
        <v>181</v>
      </c>
      <c r="V7" s="125" t="str">
        <f t="shared" si="3"/>
        <v>勝ち</v>
      </c>
      <c r="W7" s="125">
        <f t="shared" si="13"/>
        <v>2.2249999999999943</v>
      </c>
      <c r="X7" s="126">
        <f t="shared" si="14"/>
        <v>222.49999999999943</v>
      </c>
      <c r="Y7" s="126">
        <f t="shared" si="4"/>
        <v>0</v>
      </c>
      <c r="Z7" s="125">
        <f t="shared" si="5"/>
        <v>22249.99999999994</v>
      </c>
      <c r="AA7" s="125">
        <f t="shared" si="6"/>
        <v>22249.99999999994</v>
      </c>
      <c r="AB7" s="144">
        <f t="shared" si="15"/>
        <v>1008279.9999999997</v>
      </c>
      <c r="AC7" s="144">
        <f t="shared" si="16"/>
        <v>995049.9999999998</v>
      </c>
      <c r="AD7" s="144">
        <f t="shared" si="7"/>
        <v>19900.999999999996</v>
      </c>
      <c r="AE7" s="147">
        <f t="shared" si="8"/>
        <v>93.30051570557855</v>
      </c>
      <c r="AF7">
        <f t="shared" si="9"/>
        <v>1.03</v>
      </c>
      <c r="AG7">
        <v>1</v>
      </c>
      <c r="AH7">
        <f t="shared" si="10"/>
        <v>22249.99999999994</v>
      </c>
    </row>
    <row r="8" spans="1:34" ht="13.5">
      <c r="A8" s="125">
        <f t="shared" si="11"/>
        <v>6</v>
      </c>
      <c r="B8" s="125">
        <f t="shared" si="12"/>
        <v>1026390</v>
      </c>
      <c r="C8" s="129">
        <f>'ルール＆合計'!$F$3</f>
        <v>0.02</v>
      </c>
      <c r="D8" s="128">
        <f t="shared" si="0"/>
        <v>20527.8</v>
      </c>
      <c r="E8" s="131">
        <v>10000</v>
      </c>
      <c r="F8" s="123" t="s">
        <v>90</v>
      </c>
      <c r="G8" s="113" t="s">
        <v>63</v>
      </c>
      <c r="H8" t="s">
        <v>80</v>
      </c>
      <c r="I8" s="135">
        <v>41304</v>
      </c>
      <c r="J8">
        <v>91.4</v>
      </c>
      <c r="K8" t="s">
        <v>166</v>
      </c>
      <c r="L8">
        <v>90.658</v>
      </c>
      <c r="N8" s="125">
        <f t="shared" si="1"/>
        <v>74.20000000000044</v>
      </c>
      <c r="O8" s="138">
        <f t="shared" si="17"/>
        <v>276.6549865229094</v>
      </c>
      <c r="P8" s="125">
        <f t="shared" si="2"/>
        <v>3.02</v>
      </c>
      <c r="R8" s="123" t="s">
        <v>63</v>
      </c>
      <c r="S8" s="135"/>
      <c r="T8">
        <v>91.4</v>
      </c>
      <c r="U8" t="s">
        <v>182</v>
      </c>
      <c r="V8" s="125" t="str">
        <f t="shared" si="3"/>
        <v>負け</v>
      </c>
      <c r="W8" s="125">
        <f t="shared" si="13"/>
        <v>0</v>
      </c>
      <c r="X8" s="126">
        <f t="shared" si="14"/>
        <v>0</v>
      </c>
      <c r="Y8" s="126">
        <f t="shared" si="4"/>
        <v>0</v>
      </c>
      <c r="Z8" s="125">
        <f t="shared" si="5"/>
        <v>0</v>
      </c>
      <c r="AA8" s="125">
        <f t="shared" si="6"/>
        <v>0</v>
      </c>
      <c r="AB8" s="144">
        <f t="shared" si="15"/>
        <v>1030529.9999999995</v>
      </c>
      <c r="AC8" s="144">
        <f t="shared" si="16"/>
        <v>1017299.9999999998</v>
      </c>
      <c r="AD8" s="144">
        <f t="shared" si="7"/>
        <v>20345.999999999996</v>
      </c>
      <c r="AE8" s="147">
        <f t="shared" si="8"/>
        <v>274.20485175201986</v>
      </c>
      <c r="AF8">
        <f t="shared" si="9"/>
        <v>3</v>
      </c>
      <c r="AG8">
        <v>3</v>
      </c>
      <c r="AH8">
        <f t="shared" si="10"/>
        <v>0</v>
      </c>
    </row>
    <row r="9" spans="1:34" ht="13.5">
      <c r="A9" s="125">
        <f t="shared" si="11"/>
        <v>7</v>
      </c>
      <c r="B9" s="125">
        <f t="shared" si="12"/>
        <v>1026390</v>
      </c>
      <c r="C9" s="129">
        <f>'ルール＆合計'!$F$3</f>
        <v>0.02</v>
      </c>
      <c r="D9" s="128">
        <f t="shared" si="0"/>
        <v>20527.8</v>
      </c>
      <c r="E9" s="131">
        <v>10000</v>
      </c>
      <c r="F9" s="123" t="s">
        <v>90</v>
      </c>
      <c r="G9" s="113" t="s">
        <v>63</v>
      </c>
      <c r="H9" t="s">
        <v>80</v>
      </c>
      <c r="I9" s="135">
        <v>41309</v>
      </c>
      <c r="J9">
        <v>92.203</v>
      </c>
      <c r="K9" t="s">
        <v>168</v>
      </c>
      <c r="L9">
        <v>93.178</v>
      </c>
      <c r="N9" s="125">
        <f t="shared" si="1"/>
        <v>97.49999999999943</v>
      </c>
      <c r="O9" s="138">
        <f t="shared" si="17"/>
        <v>210.5415384615397</v>
      </c>
      <c r="P9" s="125">
        <f t="shared" si="2"/>
        <v>2.28</v>
      </c>
      <c r="R9" s="123" t="s">
        <v>63</v>
      </c>
      <c r="S9" s="135"/>
      <c r="T9">
        <v>92.203</v>
      </c>
      <c r="U9" t="s">
        <v>183</v>
      </c>
      <c r="V9" s="125" t="str">
        <f t="shared" si="3"/>
        <v>負け</v>
      </c>
      <c r="W9" s="125">
        <f t="shared" si="13"/>
        <v>0</v>
      </c>
      <c r="X9" s="126">
        <f t="shared" si="14"/>
        <v>0</v>
      </c>
      <c r="Y9" s="126">
        <f t="shared" si="4"/>
        <v>0</v>
      </c>
      <c r="Z9" s="125">
        <f t="shared" si="5"/>
        <v>0</v>
      </c>
      <c r="AA9" s="125">
        <f t="shared" si="6"/>
        <v>0</v>
      </c>
      <c r="AB9" s="144">
        <f t="shared" si="15"/>
        <v>1030529.9999999995</v>
      </c>
      <c r="AC9" s="144">
        <f t="shared" si="16"/>
        <v>1017299.9999999998</v>
      </c>
      <c r="AD9" s="144">
        <f t="shared" si="7"/>
        <v>20345.999999999996</v>
      </c>
      <c r="AE9" s="147">
        <f t="shared" si="8"/>
        <v>208.67692307692425</v>
      </c>
      <c r="AF9">
        <f t="shared" si="9"/>
        <v>2.26</v>
      </c>
      <c r="AG9">
        <v>2</v>
      </c>
      <c r="AH9">
        <f t="shared" si="10"/>
        <v>0</v>
      </c>
    </row>
    <row r="10" spans="1:34" ht="13.5">
      <c r="A10" s="125">
        <f t="shared" si="11"/>
        <v>8</v>
      </c>
      <c r="B10" s="125">
        <f t="shared" si="12"/>
        <v>1026390</v>
      </c>
      <c r="C10" s="129">
        <f>'ルール＆合計'!$F$3</f>
        <v>0.02</v>
      </c>
      <c r="D10" s="128">
        <f t="shared" si="0"/>
        <v>20527.8</v>
      </c>
      <c r="E10" s="131">
        <v>10000</v>
      </c>
      <c r="F10" s="123" t="s">
        <v>90</v>
      </c>
      <c r="G10" s="113" t="s">
        <v>63</v>
      </c>
      <c r="H10" t="s">
        <v>80</v>
      </c>
      <c r="I10" s="135">
        <v>41310</v>
      </c>
      <c r="J10">
        <v>93.652</v>
      </c>
      <c r="K10" t="s">
        <v>166</v>
      </c>
      <c r="L10">
        <v>91.967</v>
      </c>
      <c r="N10" s="125">
        <f t="shared" si="1"/>
        <v>168.50000000000023</v>
      </c>
      <c r="O10" s="138">
        <f t="shared" si="17"/>
        <v>121.82670623145384</v>
      </c>
      <c r="P10" s="125">
        <f t="shared" si="2"/>
        <v>1.3</v>
      </c>
      <c r="R10" s="123" t="s">
        <v>63</v>
      </c>
      <c r="S10" s="135"/>
      <c r="T10">
        <v>93.652</v>
      </c>
      <c r="U10" t="s">
        <v>182</v>
      </c>
      <c r="V10" s="125" t="str">
        <f t="shared" si="3"/>
        <v>負け</v>
      </c>
      <c r="W10" s="125">
        <f t="shared" si="13"/>
        <v>0</v>
      </c>
      <c r="X10" s="126">
        <f t="shared" si="14"/>
        <v>0</v>
      </c>
      <c r="Y10" s="126">
        <f t="shared" si="4"/>
        <v>0</v>
      </c>
      <c r="Z10" s="125">
        <f t="shared" si="5"/>
        <v>0</v>
      </c>
      <c r="AA10" s="125">
        <f t="shared" si="6"/>
        <v>0</v>
      </c>
      <c r="AB10" s="144">
        <f t="shared" si="15"/>
        <v>1030529.9999999995</v>
      </c>
      <c r="AC10" s="144">
        <f t="shared" si="16"/>
        <v>1017299.9999999998</v>
      </c>
      <c r="AD10" s="144">
        <f t="shared" si="7"/>
        <v>20345.999999999996</v>
      </c>
      <c r="AE10" s="147">
        <f t="shared" si="8"/>
        <v>120.74777448071198</v>
      </c>
      <c r="AF10">
        <f t="shared" si="9"/>
        <v>1.28</v>
      </c>
      <c r="AG10">
        <v>1</v>
      </c>
      <c r="AH10">
        <f t="shared" si="10"/>
        <v>0</v>
      </c>
    </row>
    <row r="11" spans="1:34" ht="13.5">
      <c r="A11" s="125">
        <f t="shared" si="11"/>
        <v>9</v>
      </c>
      <c r="B11" s="125">
        <f t="shared" si="12"/>
        <v>1026390</v>
      </c>
      <c r="C11" s="129">
        <f>'ルール＆合計'!$F$3</f>
        <v>0.02</v>
      </c>
      <c r="D11" s="128">
        <f t="shared" si="0"/>
        <v>20527.8</v>
      </c>
      <c r="E11" s="131">
        <v>10000</v>
      </c>
      <c r="F11" s="123" t="s">
        <v>90</v>
      </c>
      <c r="G11" s="113" t="s">
        <v>63</v>
      </c>
      <c r="H11" t="s">
        <v>80</v>
      </c>
      <c r="I11" s="135">
        <v>41312</v>
      </c>
      <c r="J11">
        <v>93.911</v>
      </c>
      <c r="K11" t="s">
        <v>166</v>
      </c>
      <c r="L11">
        <v>93.079</v>
      </c>
      <c r="N11" s="125">
        <f t="shared" si="1"/>
        <v>83.20000000000078</v>
      </c>
      <c r="O11" s="138">
        <f t="shared" si="17"/>
        <v>246.72836538461306</v>
      </c>
      <c r="P11" s="125">
        <f t="shared" si="2"/>
        <v>2.62</v>
      </c>
      <c r="R11" s="123" t="s">
        <v>63</v>
      </c>
      <c r="S11" s="135"/>
      <c r="T11">
        <v>93.911</v>
      </c>
      <c r="U11" t="s">
        <v>183</v>
      </c>
      <c r="V11" s="125" t="str">
        <f t="shared" si="3"/>
        <v>負け</v>
      </c>
      <c r="W11" s="125">
        <f t="shared" si="13"/>
        <v>0</v>
      </c>
      <c r="X11" s="126">
        <f t="shared" si="14"/>
        <v>0</v>
      </c>
      <c r="Y11" s="126">
        <f t="shared" si="4"/>
        <v>0</v>
      </c>
      <c r="Z11" s="125">
        <f t="shared" si="5"/>
        <v>0</v>
      </c>
      <c r="AA11" s="125">
        <f t="shared" si="6"/>
        <v>0</v>
      </c>
      <c r="AB11" s="144">
        <f t="shared" si="15"/>
        <v>1030529.9999999995</v>
      </c>
      <c r="AC11" s="144">
        <f t="shared" si="16"/>
        <v>1017299.9999999998</v>
      </c>
      <c r="AD11" s="144">
        <f t="shared" si="7"/>
        <v>20345.999999999996</v>
      </c>
      <c r="AE11" s="147">
        <f t="shared" si="8"/>
        <v>244.54326923076687</v>
      </c>
      <c r="AF11">
        <f t="shared" si="9"/>
        <v>2.6</v>
      </c>
      <c r="AG11">
        <v>2</v>
      </c>
      <c r="AH11">
        <f t="shared" si="10"/>
        <v>0</v>
      </c>
    </row>
    <row r="12" spans="1:34" ht="13.5">
      <c r="A12" s="125">
        <f t="shared" si="11"/>
        <v>10</v>
      </c>
      <c r="B12" s="125">
        <f t="shared" si="12"/>
        <v>1026390</v>
      </c>
      <c r="C12" s="129">
        <f>'ルール＆合計'!$F$3</f>
        <v>0.02</v>
      </c>
      <c r="D12" s="128">
        <f t="shared" si="0"/>
        <v>20527.8</v>
      </c>
      <c r="E12" s="131">
        <v>10000</v>
      </c>
      <c r="F12" s="123" t="s">
        <v>90</v>
      </c>
      <c r="G12" s="113" t="s">
        <v>63</v>
      </c>
      <c r="H12" t="s">
        <v>64</v>
      </c>
      <c r="I12" s="135">
        <v>41330</v>
      </c>
      <c r="J12">
        <v>90.852</v>
      </c>
      <c r="K12" t="s">
        <v>170</v>
      </c>
      <c r="L12">
        <v>94.532</v>
      </c>
      <c r="N12" s="125">
        <f t="shared" si="1"/>
        <v>367.99999999999926</v>
      </c>
      <c r="O12" s="138">
        <f t="shared" si="17"/>
        <v>55.78206521739141</v>
      </c>
      <c r="P12" s="125">
        <f t="shared" si="2"/>
        <v>0.61</v>
      </c>
      <c r="R12" s="123" t="s">
        <v>63</v>
      </c>
      <c r="S12" s="135"/>
      <c r="T12">
        <v>90.852</v>
      </c>
      <c r="U12" t="s">
        <v>185</v>
      </c>
      <c r="V12" s="125" t="str">
        <f t="shared" si="3"/>
        <v>勝ち</v>
      </c>
      <c r="W12" s="125">
        <f t="shared" si="13"/>
        <v>0</v>
      </c>
      <c r="X12" s="126">
        <f t="shared" si="14"/>
        <v>0</v>
      </c>
      <c r="Y12" s="126">
        <f t="shared" si="4"/>
        <v>0</v>
      </c>
      <c r="Z12" s="125">
        <f t="shared" si="5"/>
        <v>0</v>
      </c>
      <c r="AA12" s="125">
        <f t="shared" si="6"/>
        <v>0</v>
      </c>
      <c r="AB12" s="144">
        <f t="shared" si="15"/>
        <v>1030529.9999999995</v>
      </c>
      <c r="AC12" s="144">
        <f t="shared" si="16"/>
        <v>1017299.9999999998</v>
      </c>
      <c r="AD12" s="144">
        <f t="shared" si="7"/>
        <v>20345.999999999996</v>
      </c>
      <c r="AE12" s="147">
        <f t="shared" si="8"/>
        <v>55.288043478260974</v>
      </c>
      <c r="AF12">
        <f t="shared" si="9"/>
        <v>0.6</v>
      </c>
      <c r="AG12">
        <v>0</v>
      </c>
      <c r="AH12">
        <f t="shared" si="10"/>
        <v>0</v>
      </c>
    </row>
    <row r="13" spans="1:34" ht="13.5">
      <c r="A13" s="125">
        <f t="shared" si="11"/>
        <v>11</v>
      </c>
      <c r="B13" s="125">
        <f t="shared" si="12"/>
        <v>1026390</v>
      </c>
      <c r="C13" s="129">
        <f>'ルール＆合計'!$F$3</f>
        <v>0.02</v>
      </c>
      <c r="D13" s="128">
        <f t="shared" si="0"/>
        <v>20527.8</v>
      </c>
      <c r="E13" s="131">
        <v>10000</v>
      </c>
      <c r="F13" s="123" t="s">
        <v>90</v>
      </c>
      <c r="G13" s="113" t="s">
        <v>63</v>
      </c>
      <c r="H13" t="s">
        <v>80</v>
      </c>
      <c r="I13" s="135">
        <v>41337</v>
      </c>
      <c r="J13">
        <v>93.724</v>
      </c>
      <c r="K13" t="s">
        <v>171</v>
      </c>
      <c r="L13">
        <v>93.164</v>
      </c>
      <c r="N13" s="125">
        <f t="shared" si="1"/>
        <v>56.00000000000023</v>
      </c>
      <c r="O13" s="138">
        <f t="shared" si="17"/>
        <v>366.56785714285564</v>
      </c>
      <c r="P13" s="125">
        <f t="shared" si="2"/>
        <v>3.91</v>
      </c>
      <c r="R13" s="123" t="s">
        <v>63</v>
      </c>
      <c r="S13" s="135"/>
      <c r="T13">
        <v>93.724</v>
      </c>
      <c r="U13" t="s">
        <v>184</v>
      </c>
      <c r="V13" s="125" t="str">
        <f t="shared" si="3"/>
        <v>負け</v>
      </c>
      <c r="W13" s="125">
        <f t="shared" si="13"/>
        <v>0</v>
      </c>
      <c r="X13" s="126">
        <f t="shared" si="14"/>
        <v>0</v>
      </c>
      <c r="Y13" s="126">
        <f t="shared" si="4"/>
        <v>0</v>
      </c>
      <c r="Z13" s="125">
        <f t="shared" si="5"/>
        <v>0</v>
      </c>
      <c r="AA13" s="125">
        <f t="shared" si="6"/>
        <v>0</v>
      </c>
      <c r="AB13" s="144">
        <f t="shared" si="15"/>
        <v>1030529.9999999995</v>
      </c>
      <c r="AC13" s="144">
        <f t="shared" si="16"/>
        <v>1017299.9999999998</v>
      </c>
      <c r="AD13" s="144">
        <f t="shared" si="7"/>
        <v>20345.999999999996</v>
      </c>
      <c r="AE13" s="147">
        <f t="shared" si="8"/>
        <v>363.321428571427</v>
      </c>
      <c r="AF13">
        <f t="shared" si="9"/>
        <v>3.87</v>
      </c>
      <c r="AG13">
        <v>3</v>
      </c>
      <c r="AH13">
        <f t="shared" si="10"/>
        <v>0</v>
      </c>
    </row>
    <row r="14" spans="1:34" ht="13.5">
      <c r="A14" s="125">
        <f t="shared" si="11"/>
        <v>12</v>
      </c>
      <c r="B14" s="125">
        <f t="shared" si="12"/>
        <v>1026390</v>
      </c>
      <c r="C14" s="129">
        <f>'ルール＆合計'!$F$3</f>
        <v>0.02</v>
      </c>
      <c r="D14" s="128">
        <f t="shared" si="0"/>
        <v>20527.8</v>
      </c>
      <c r="E14" s="131">
        <v>10000</v>
      </c>
      <c r="F14" s="123" t="s">
        <v>90</v>
      </c>
      <c r="G14" s="113" t="s">
        <v>63</v>
      </c>
      <c r="H14" t="s">
        <v>80</v>
      </c>
      <c r="I14" s="135">
        <v>41353</v>
      </c>
      <c r="J14">
        <v>96.131</v>
      </c>
      <c r="K14" t="s">
        <v>167</v>
      </c>
      <c r="L14">
        <v>94.827</v>
      </c>
      <c r="N14" s="125">
        <f t="shared" si="1"/>
        <v>130.4000000000002</v>
      </c>
      <c r="O14" s="138">
        <f t="shared" si="17"/>
        <v>157.42177914110405</v>
      </c>
      <c r="P14" s="125">
        <f t="shared" si="2"/>
        <v>1.63</v>
      </c>
      <c r="R14" s="123" t="s">
        <v>63</v>
      </c>
      <c r="T14">
        <v>96.131</v>
      </c>
      <c r="U14" t="s">
        <v>186</v>
      </c>
      <c r="V14" s="125" t="str">
        <f t="shared" si="3"/>
        <v>負け</v>
      </c>
      <c r="W14" s="125">
        <f t="shared" si="13"/>
        <v>0</v>
      </c>
      <c r="X14" s="126">
        <f t="shared" si="14"/>
        <v>0</v>
      </c>
      <c r="Y14" s="126">
        <f t="shared" si="4"/>
        <v>0</v>
      </c>
      <c r="Z14" s="125">
        <f t="shared" si="5"/>
        <v>0</v>
      </c>
      <c r="AA14" s="125">
        <f t="shared" si="6"/>
        <v>0</v>
      </c>
      <c r="AB14" s="144">
        <f t="shared" si="15"/>
        <v>1030529.9999999995</v>
      </c>
      <c r="AC14" s="144">
        <f t="shared" si="16"/>
        <v>1017299.9999999998</v>
      </c>
      <c r="AD14" s="144">
        <f t="shared" si="7"/>
        <v>20345.999999999996</v>
      </c>
      <c r="AE14" s="147">
        <f t="shared" si="8"/>
        <v>156.0276073619629</v>
      </c>
      <c r="AF14">
        <f t="shared" si="9"/>
        <v>1.62</v>
      </c>
      <c r="AG14">
        <v>1</v>
      </c>
      <c r="AH14">
        <f t="shared" si="10"/>
        <v>0</v>
      </c>
    </row>
    <row r="15" spans="1:34" ht="13.5">
      <c r="A15" s="125">
        <f t="shared" si="11"/>
        <v>13</v>
      </c>
      <c r="B15" s="125">
        <f t="shared" si="12"/>
        <v>1026390</v>
      </c>
      <c r="C15" s="129">
        <f>'ルール＆合計'!$F$3</f>
        <v>0.02</v>
      </c>
      <c r="D15" s="128">
        <f t="shared" si="0"/>
        <v>20527.8</v>
      </c>
      <c r="E15" s="131">
        <v>10000</v>
      </c>
      <c r="F15" s="123" t="s">
        <v>90</v>
      </c>
      <c r="G15" s="113" t="s">
        <v>63</v>
      </c>
      <c r="H15" t="s">
        <v>64</v>
      </c>
      <c r="I15" s="135">
        <v>41361</v>
      </c>
      <c r="J15">
        <v>93.872</v>
      </c>
      <c r="K15" t="s">
        <v>169</v>
      </c>
      <c r="L15">
        <v>94.479</v>
      </c>
      <c r="N15" s="125">
        <f t="shared" si="1"/>
        <v>60.69999999999993</v>
      </c>
      <c r="O15" s="138">
        <f t="shared" si="17"/>
        <v>338.18451400329525</v>
      </c>
      <c r="P15" s="125">
        <f t="shared" si="2"/>
        <v>3.6</v>
      </c>
      <c r="Q15">
        <v>3</v>
      </c>
      <c r="R15" s="123" t="s">
        <v>63</v>
      </c>
      <c r="S15" s="135">
        <v>41368</v>
      </c>
      <c r="T15">
        <v>93.683</v>
      </c>
      <c r="U15" t="s">
        <v>187</v>
      </c>
      <c r="V15" s="125" t="str">
        <f t="shared" si="3"/>
        <v>勝ち</v>
      </c>
      <c r="W15" s="125">
        <f t="shared" si="13"/>
        <v>-0.18899999999999295</v>
      </c>
      <c r="X15" s="126">
        <f t="shared" si="14"/>
        <v>-18.899999999999295</v>
      </c>
      <c r="Y15" s="126">
        <f t="shared" si="4"/>
        <v>0</v>
      </c>
      <c r="Z15" s="125">
        <f t="shared" si="5"/>
        <v>1889.9999999999295</v>
      </c>
      <c r="AA15" s="125">
        <f t="shared" si="6"/>
        <v>5669.999999999789</v>
      </c>
      <c r="AB15" s="144">
        <f t="shared" si="15"/>
        <v>1030529.9999999995</v>
      </c>
      <c r="AC15" s="144">
        <f t="shared" si="16"/>
        <v>1017299.9999999998</v>
      </c>
      <c r="AD15" s="144">
        <f t="shared" si="7"/>
        <v>20345.999999999996</v>
      </c>
      <c r="AE15" s="147">
        <f t="shared" si="8"/>
        <v>335.1894563426692</v>
      </c>
      <c r="AF15">
        <f t="shared" si="9"/>
        <v>3.57</v>
      </c>
      <c r="AG15">
        <v>3</v>
      </c>
      <c r="AH15">
        <f t="shared" si="10"/>
        <v>5669.999999999789</v>
      </c>
    </row>
    <row r="16" spans="1:34" ht="13.5">
      <c r="A16" s="125">
        <f t="shared" si="11"/>
        <v>14</v>
      </c>
      <c r="B16" s="125">
        <f t="shared" si="12"/>
        <v>1028280</v>
      </c>
      <c r="C16" s="129">
        <f>'ルール＆合計'!$F$3</f>
        <v>0.02</v>
      </c>
      <c r="D16" s="128">
        <f t="shared" si="0"/>
        <v>20565.600000000002</v>
      </c>
      <c r="E16" s="131">
        <v>10000</v>
      </c>
      <c r="F16" s="123" t="s">
        <v>90</v>
      </c>
      <c r="G16" s="113" t="s">
        <v>63</v>
      </c>
      <c r="H16" t="s">
        <v>64</v>
      </c>
      <c r="I16" s="135">
        <v>41365</v>
      </c>
      <c r="J16">
        <v>93.159</v>
      </c>
      <c r="K16" t="s">
        <v>169</v>
      </c>
      <c r="L16">
        <v>94.371</v>
      </c>
      <c r="N16" s="125">
        <f t="shared" si="1"/>
        <v>121.19999999999891</v>
      </c>
      <c r="O16" s="138">
        <f t="shared" si="17"/>
        <v>169.68316831683322</v>
      </c>
      <c r="P16" s="125">
        <f t="shared" si="2"/>
        <v>1.82</v>
      </c>
      <c r="R16" s="123" t="s">
        <v>63</v>
      </c>
      <c r="T16">
        <v>93.159</v>
      </c>
      <c r="U16" t="s">
        <v>188</v>
      </c>
      <c r="V16" s="125" t="str">
        <f t="shared" si="3"/>
        <v>勝ち</v>
      </c>
      <c r="W16" s="125">
        <f t="shared" si="13"/>
        <v>0</v>
      </c>
      <c r="X16" s="126">
        <f t="shared" si="14"/>
        <v>0</v>
      </c>
      <c r="Y16" s="126">
        <f t="shared" si="4"/>
        <v>0</v>
      </c>
      <c r="Z16" s="125">
        <f t="shared" si="5"/>
        <v>0</v>
      </c>
      <c r="AA16" s="125">
        <f t="shared" si="6"/>
        <v>0</v>
      </c>
      <c r="AB16" s="144">
        <f t="shared" si="15"/>
        <v>1036199.9999999993</v>
      </c>
      <c r="AC16" s="144">
        <f t="shared" si="16"/>
        <v>1022969.9999999995</v>
      </c>
      <c r="AD16" s="144">
        <f t="shared" si="7"/>
        <v>20459.39999999999</v>
      </c>
      <c r="AE16" s="147">
        <f t="shared" si="8"/>
        <v>168.80693069307074</v>
      </c>
      <c r="AF16">
        <f t="shared" si="9"/>
        <v>1.81</v>
      </c>
      <c r="AG16">
        <v>1</v>
      </c>
      <c r="AH16">
        <f t="shared" si="10"/>
        <v>0</v>
      </c>
    </row>
    <row r="17" spans="1:34" ht="13.5">
      <c r="A17" s="125">
        <f t="shared" si="11"/>
        <v>15</v>
      </c>
      <c r="B17" s="125">
        <f t="shared" si="12"/>
        <v>1028280</v>
      </c>
      <c r="C17" s="129">
        <f>'ルール＆合計'!$F$3</f>
        <v>0.02</v>
      </c>
      <c r="D17" s="128">
        <f t="shared" si="0"/>
        <v>20565.600000000002</v>
      </c>
      <c r="E17" s="131">
        <v>10000</v>
      </c>
      <c r="F17" s="123" t="s">
        <v>90</v>
      </c>
      <c r="G17" s="113" t="s">
        <v>63</v>
      </c>
      <c r="H17" t="s">
        <v>80</v>
      </c>
      <c r="I17" s="135">
        <v>41368</v>
      </c>
      <c r="J17">
        <v>96.412</v>
      </c>
      <c r="K17" t="s">
        <v>166</v>
      </c>
      <c r="L17">
        <v>92.722</v>
      </c>
      <c r="N17" s="125">
        <f t="shared" si="1"/>
        <v>369.0000000000012</v>
      </c>
      <c r="O17" s="138">
        <f t="shared" si="17"/>
        <v>55.73333333333316</v>
      </c>
      <c r="P17" s="125">
        <f t="shared" si="2"/>
        <v>0.57</v>
      </c>
      <c r="Q17">
        <v>0</v>
      </c>
      <c r="R17" s="123" t="s">
        <v>63</v>
      </c>
      <c r="S17" s="135">
        <v>41376</v>
      </c>
      <c r="T17">
        <v>98.909</v>
      </c>
      <c r="U17" t="s">
        <v>181</v>
      </c>
      <c r="V17" s="125" t="str">
        <f t="shared" si="3"/>
        <v>勝ち</v>
      </c>
      <c r="W17" s="125">
        <f t="shared" si="13"/>
        <v>2.497</v>
      </c>
      <c r="X17" s="126">
        <f t="shared" si="14"/>
        <v>249.7</v>
      </c>
      <c r="Y17" s="126">
        <f t="shared" si="4"/>
        <v>0</v>
      </c>
      <c r="Z17" s="125">
        <f t="shared" si="5"/>
        <v>24970</v>
      </c>
      <c r="AA17" s="125">
        <f t="shared" si="6"/>
        <v>0</v>
      </c>
      <c r="AB17" s="144">
        <f t="shared" si="15"/>
        <v>1036199.9999999993</v>
      </c>
      <c r="AC17" s="144">
        <f t="shared" si="16"/>
        <v>1022969.9999999995</v>
      </c>
      <c r="AD17" s="144">
        <f t="shared" si="7"/>
        <v>20459.39999999999</v>
      </c>
      <c r="AE17" s="147">
        <f t="shared" si="8"/>
        <v>55.44552845528435</v>
      </c>
      <c r="AF17">
        <f t="shared" si="9"/>
        <v>0.57</v>
      </c>
      <c r="AG17">
        <v>0</v>
      </c>
      <c r="AH17">
        <f t="shared" si="10"/>
        <v>0</v>
      </c>
    </row>
    <row r="18" spans="1:34" ht="13.5">
      <c r="A18" s="125">
        <f t="shared" si="11"/>
        <v>16</v>
      </c>
      <c r="B18" s="125">
        <f t="shared" si="12"/>
        <v>1053250</v>
      </c>
      <c r="C18" s="129">
        <f>'ルール＆合計'!$F$3</f>
        <v>0.02</v>
      </c>
      <c r="D18" s="128">
        <f t="shared" si="0"/>
        <v>21065</v>
      </c>
      <c r="E18" s="131">
        <v>10000</v>
      </c>
      <c r="F18" s="123" t="s">
        <v>90</v>
      </c>
      <c r="G18" s="113" t="s">
        <v>63</v>
      </c>
      <c r="H18" t="s">
        <v>80</v>
      </c>
      <c r="I18" s="135">
        <v>41374</v>
      </c>
      <c r="J18">
        <v>99.871</v>
      </c>
      <c r="K18" t="s">
        <v>166</v>
      </c>
      <c r="L18">
        <v>98.909</v>
      </c>
      <c r="N18" s="125">
        <f t="shared" si="1"/>
        <v>96.19999999999891</v>
      </c>
      <c r="O18" s="138">
        <f t="shared" si="17"/>
        <v>218.97089397089647</v>
      </c>
      <c r="P18" s="125">
        <f t="shared" si="2"/>
        <v>2.19</v>
      </c>
      <c r="R18" s="123" t="s">
        <v>63</v>
      </c>
      <c r="T18">
        <v>96.412</v>
      </c>
      <c r="U18" t="s">
        <v>189</v>
      </c>
      <c r="V18" s="125" t="str">
        <f t="shared" si="3"/>
        <v>負け</v>
      </c>
      <c r="W18" s="125">
        <f t="shared" si="13"/>
        <v>-3.458999999999989</v>
      </c>
      <c r="X18" s="126">
        <f t="shared" si="14"/>
        <v>0</v>
      </c>
      <c r="Y18" s="126">
        <f t="shared" si="4"/>
        <v>-345.8999999999989</v>
      </c>
      <c r="Z18" s="125">
        <f t="shared" si="5"/>
        <v>-34589.99999999989</v>
      </c>
      <c r="AA18" s="125">
        <f t="shared" si="6"/>
        <v>0</v>
      </c>
      <c r="AB18" s="144">
        <f t="shared" si="15"/>
        <v>1036199.9999999993</v>
      </c>
      <c r="AC18" s="144">
        <f t="shared" si="16"/>
        <v>1022969.9999999995</v>
      </c>
      <c r="AD18" s="144">
        <f t="shared" si="7"/>
        <v>20459.39999999999</v>
      </c>
      <c r="AE18" s="147">
        <f t="shared" si="8"/>
        <v>212.67567567567798</v>
      </c>
      <c r="AF18">
        <f t="shared" si="9"/>
        <v>2.12</v>
      </c>
      <c r="AG18">
        <v>2</v>
      </c>
      <c r="AH18">
        <f t="shared" si="10"/>
        <v>-69179.99999999978</v>
      </c>
    </row>
    <row r="19" spans="1:34" ht="13.5">
      <c r="A19" s="125">
        <f t="shared" si="11"/>
        <v>17</v>
      </c>
      <c r="B19" s="125">
        <f t="shared" si="12"/>
        <v>1018660</v>
      </c>
      <c r="C19" s="129">
        <f>'ルール＆合計'!$F$3</f>
        <v>0.02</v>
      </c>
      <c r="D19" s="128">
        <f t="shared" si="0"/>
        <v>20373.2</v>
      </c>
      <c r="E19" s="131">
        <v>10000</v>
      </c>
      <c r="F19" s="123" t="s">
        <v>90</v>
      </c>
      <c r="G19" s="113" t="s">
        <v>63</v>
      </c>
      <c r="H19" t="s">
        <v>64</v>
      </c>
      <c r="I19" s="135">
        <v>41396</v>
      </c>
      <c r="J19">
        <v>97.083</v>
      </c>
      <c r="K19" t="s">
        <v>172</v>
      </c>
      <c r="L19">
        <v>98.389</v>
      </c>
      <c r="N19" s="125">
        <f t="shared" si="1"/>
        <v>130.59999999999974</v>
      </c>
      <c r="O19" s="138">
        <f t="shared" si="17"/>
        <v>155.99693721286403</v>
      </c>
      <c r="P19" s="125">
        <f t="shared" si="2"/>
        <v>1.6</v>
      </c>
      <c r="R19" s="123" t="s">
        <v>63</v>
      </c>
      <c r="T19">
        <v>97.083</v>
      </c>
      <c r="U19" t="s">
        <v>189</v>
      </c>
      <c r="V19" s="125" t="str">
        <f t="shared" si="3"/>
        <v>勝ち</v>
      </c>
      <c r="W19" s="125">
        <f t="shared" si="13"/>
        <v>0</v>
      </c>
      <c r="X19" s="126">
        <f t="shared" si="14"/>
        <v>0</v>
      </c>
      <c r="Y19" s="126">
        <f t="shared" si="4"/>
        <v>0</v>
      </c>
      <c r="Z19" s="125">
        <f t="shared" si="5"/>
        <v>0</v>
      </c>
      <c r="AA19" s="125">
        <f t="shared" si="6"/>
        <v>0</v>
      </c>
      <c r="AB19" s="144">
        <f t="shared" si="15"/>
        <v>1036199.9999999993</v>
      </c>
      <c r="AC19" s="144">
        <f t="shared" si="16"/>
        <v>953789.9999999998</v>
      </c>
      <c r="AD19" s="144">
        <f t="shared" si="7"/>
        <v>19075.799999999996</v>
      </c>
      <c r="AE19" s="147">
        <f t="shared" si="8"/>
        <v>146.06278713629428</v>
      </c>
      <c r="AF19">
        <f t="shared" si="9"/>
        <v>1.5</v>
      </c>
      <c r="AG19">
        <v>1</v>
      </c>
      <c r="AH19">
        <f t="shared" si="10"/>
        <v>0</v>
      </c>
    </row>
    <row r="20" spans="1:34" ht="13.5">
      <c r="A20" s="125">
        <f t="shared" si="11"/>
        <v>18</v>
      </c>
      <c r="B20" s="125">
        <f t="shared" si="12"/>
        <v>1018660</v>
      </c>
      <c r="C20" s="129">
        <f>'ルール＆合計'!$F$3</f>
        <v>0.02</v>
      </c>
      <c r="D20" s="128">
        <f t="shared" si="0"/>
        <v>20373.2</v>
      </c>
      <c r="E20" s="131">
        <v>10000</v>
      </c>
      <c r="F20" s="123" t="s">
        <v>90</v>
      </c>
      <c r="G20" s="113" t="s">
        <v>63</v>
      </c>
      <c r="H20" t="s">
        <v>80</v>
      </c>
      <c r="I20" s="135">
        <v>41417</v>
      </c>
      <c r="J20">
        <v>103.566</v>
      </c>
      <c r="K20" t="s">
        <v>167</v>
      </c>
      <c r="L20">
        <v>100.827</v>
      </c>
      <c r="N20" s="125">
        <f t="shared" si="1"/>
        <v>273.90000000000043</v>
      </c>
      <c r="O20" s="138">
        <f t="shared" si="17"/>
        <v>74.3818912011682</v>
      </c>
      <c r="P20" s="125">
        <f t="shared" si="2"/>
        <v>0.71</v>
      </c>
      <c r="R20" s="123" t="s">
        <v>63</v>
      </c>
      <c r="T20">
        <v>103.566</v>
      </c>
      <c r="U20" t="s">
        <v>190</v>
      </c>
      <c r="V20" s="125" t="str">
        <f t="shared" si="3"/>
        <v>負け</v>
      </c>
      <c r="W20" s="125">
        <f t="shared" si="13"/>
        <v>0</v>
      </c>
      <c r="X20" s="126">
        <f t="shared" si="14"/>
        <v>0</v>
      </c>
      <c r="Y20" s="126">
        <f t="shared" si="4"/>
        <v>0</v>
      </c>
      <c r="Z20" s="125">
        <f t="shared" si="5"/>
        <v>0</v>
      </c>
      <c r="AA20" s="125">
        <f t="shared" si="6"/>
        <v>0</v>
      </c>
      <c r="AB20" s="144">
        <f t="shared" si="15"/>
        <v>1036199.9999999993</v>
      </c>
      <c r="AC20" s="144">
        <f t="shared" si="16"/>
        <v>953789.9999999998</v>
      </c>
      <c r="AD20" s="144">
        <f t="shared" si="7"/>
        <v>19075.799999999996</v>
      </c>
      <c r="AE20" s="147">
        <f t="shared" si="8"/>
        <v>69.64512595837884</v>
      </c>
      <c r="AF20">
        <f t="shared" si="9"/>
        <v>0.67</v>
      </c>
      <c r="AG20">
        <v>0</v>
      </c>
      <c r="AH20">
        <f t="shared" si="10"/>
        <v>0</v>
      </c>
    </row>
    <row r="21" spans="1:34" ht="13.5">
      <c r="A21" s="125">
        <f t="shared" si="11"/>
        <v>19</v>
      </c>
      <c r="B21" s="125">
        <f t="shared" si="12"/>
        <v>1018660</v>
      </c>
      <c r="C21" s="129">
        <f>'ルール＆合計'!$F$3</f>
        <v>0.02</v>
      </c>
      <c r="D21" s="128">
        <f t="shared" si="0"/>
        <v>20373.2</v>
      </c>
      <c r="E21" s="131">
        <v>10000</v>
      </c>
      <c r="F21" s="123" t="s">
        <v>90</v>
      </c>
      <c r="G21" s="113" t="s">
        <v>63</v>
      </c>
      <c r="H21" t="s">
        <v>64</v>
      </c>
      <c r="I21" s="135">
        <v>41430</v>
      </c>
      <c r="J21">
        <v>98.962</v>
      </c>
      <c r="K21" t="s">
        <v>173</v>
      </c>
      <c r="L21">
        <v>100.462</v>
      </c>
      <c r="N21" s="125">
        <f t="shared" si="1"/>
        <v>150</v>
      </c>
      <c r="O21" s="138">
        <f t="shared" si="17"/>
        <v>135.82133333333334</v>
      </c>
      <c r="P21" s="125">
        <f t="shared" si="2"/>
        <v>1.37</v>
      </c>
      <c r="R21" s="123" t="s">
        <v>63</v>
      </c>
      <c r="T21">
        <v>98.962</v>
      </c>
      <c r="U21" t="s">
        <v>189</v>
      </c>
      <c r="V21" s="125" t="str">
        <f t="shared" si="3"/>
        <v>勝ち</v>
      </c>
      <c r="W21" s="125">
        <f t="shared" si="13"/>
        <v>0</v>
      </c>
      <c r="X21" s="126">
        <f t="shared" si="14"/>
        <v>0</v>
      </c>
      <c r="Y21" s="126">
        <f t="shared" si="4"/>
        <v>0</v>
      </c>
      <c r="Z21" s="125">
        <f t="shared" si="5"/>
        <v>0</v>
      </c>
      <c r="AA21" s="125">
        <f t="shared" si="6"/>
        <v>0</v>
      </c>
      <c r="AB21" s="144">
        <f t="shared" si="15"/>
        <v>1036199.9999999993</v>
      </c>
      <c r="AC21" s="144">
        <f t="shared" si="16"/>
        <v>953789.9999999998</v>
      </c>
      <c r="AD21" s="144">
        <f t="shared" si="7"/>
        <v>19075.799999999996</v>
      </c>
      <c r="AE21" s="147">
        <f t="shared" si="8"/>
        <v>127.17199999999997</v>
      </c>
      <c r="AF21">
        <f t="shared" si="9"/>
        <v>1.28</v>
      </c>
      <c r="AG21">
        <v>1</v>
      </c>
      <c r="AH21">
        <f t="shared" si="10"/>
        <v>0</v>
      </c>
    </row>
    <row r="22" spans="1:34" ht="13.5">
      <c r="A22" s="125">
        <f t="shared" si="11"/>
        <v>20</v>
      </c>
      <c r="B22" s="125">
        <f t="shared" si="12"/>
        <v>1018660</v>
      </c>
      <c r="C22" s="129">
        <f>'ルール＆合計'!$F$3</f>
        <v>0.02</v>
      </c>
      <c r="D22" s="128">
        <f t="shared" si="0"/>
        <v>20373.2</v>
      </c>
      <c r="E22" s="131">
        <v>10000</v>
      </c>
      <c r="F22" s="123" t="s">
        <v>90</v>
      </c>
      <c r="G22" s="113" t="s">
        <v>63</v>
      </c>
      <c r="H22" t="s">
        <v>64</v>
      </c>
      <c r="I22" s="135">
        <v>41436</v>
      </c>
      <c r="J22">
        <v>95.577</v>
      </c>
      <c r="K22" t="s">
        <v>174</v>
      </c>
      <c r="L22">
        <v>99.033</v>
      </c>
      <c r="N22" s="125">
        <f t="shared" si="1"/>
        <v>345.6000000000003</v>
      </c>
      <c r="O22" s="138">
        <f t="shared" si="17"/>
        <v>58.95023148148143</v>
      </c>
      <c r="P22" s="125">
        <f t="shared" si="2"/>
        <v>0.61</v>
      </c>
      <c r="Q22">
        <v>0</v>
      </c>
      <c r="R22" s="123" t="s">
        <v>63</v>
      </c>
      <c r="S22" s="135">
        <v>41444</v>
      </c>
      <c r="T22">
        <v>96.064</v>
      </c>
      <c r="U22" t="s">
        <v>187</v>
      </c>
      <c r="V22" s="125" t="str">
        <f t="shared" si="3"/>
        <v>負け</v>
      </c>
      <c r="W22" s="125">
        <f t="shared" si="13"/>
        <v>0.48699999999999477</v>
      </c>
      <c r="X22" s="126">
        <f t="shared" si="14"/>
        <v>0</v>
      </c>
      <c r="Y22" s="126">
        <f t="shared" si="4"/>
        <v>48.69999999999948</v>
      </c>
      <c r="Z22" s="125">
        <f t="shared" si="5"/>
        <v>-4869.999999999947</v>
      </c>
      <c r="AA22" s="125">
        <f t="shared" si="6"/>
        <v>0</v>
      </c>
      <c r="AB22" s="144">
        <f t="shared" si="15"/>
        <v>1036199.9999999993</v>
      </c>
      <c r="AC22" s="144">
        <f t="shared" si="16"/>
        <v>953789.9999999998</v>
      </c>
      <c r="AD22" s="144">
        <f t="shared" si="7"/>
        <v>19075.799999999996</v>
      </c>
      <c r="AE22" s="147">
        <f t="shared" si="8"/>
        <v>55.19618055555549</v>
      </c>
      <c r="AF22">
        <f t="shared" si="9"/>
        <v>0.57</v>
      </c>
      <c r="AG22">
        <v>0</v>
      </c>
      <c r="AH22">
        <f t="shared" si="10"/>
        <v>0</v>
      </c>
    </row>
    <row r="23" spans="1:34" ht="13.5">
      <c r="A23" s="125">
        <f t="shared" si="11"/>
        <v>21</v>
      </c>
      <c r="B23" s="125">
        <f t="shared" si="12"/>
        <v>1013790</v>
      </c>
      <c r="C23" s="129">
        <f>'ルール＆合計'!$F$3</f>
        <v>0.02</v>
      </c>
      <c r="D23" s="128">
        <f t="shared" si="0"/>
        <v>20275.8</v>
      </c>
      <c r="E23" s="131">
        <v>10000</v>
      </c>
      <c r="F23" s="123" t="s">
        <v>90</v>
      </c>
      <c r="G23" s="113" t="s">
        <v>63</v>
      </c>
      <c r="H23" t="s">
        <v>64</v>
      </c>
      <c r="I23" s="135">
        <v>41471</v>
      </c>
      <c r="J23">
        <v>98.888</v>
      </c>
      <c r="K23" t="s">
        <v>175</v>
      </c>
      <c r="L23">
        <v>100.064</v>
      </c>
      <c r="N23" s="125">
        <f t="shared" si="1"/>
        <v>117.59999999999877</v>
      </c>
      <c r="O23" s="138">
        <f t="shared" si="17"/>
        <v>172.41326530612423</v>
      </c>
      <c r="P23" s="125">
        <f t="shared" si="2"/>
        <v>1.74</v>
      </c>
      <c r="R23" s="123" t="s">
        <v>63</v>
      </c>
      <c r="T23">
        <v>98.888</v>
      </c>
      <c r="U23" t="s">
        <v>191</v>
      </c>
      <c r="V23" s="125" t="str">
        <f t="shared" si="3"/>
        <v>勝ち</v>
      </c>
      <c r="W23" s="125">
        <f t="shared" si="13"/>
        <v>0</v>
      </c>
      <c r="X23" s="126">
        <f t="shared" si="14"/>
        <v>0</v>
      </c>
      <c r="Y23" s="126">
        <f t="shared" si="4"/>
        <v>0</v>
      </c>
      <c r="Z23" s="125">
        <f t="shared" si="5"/>
        <v>0</v>
      </c>
      <c r="AA23" s="125">
        <f t="shared" si="6"/>
        <v>0</v>
      </c>
      <c r="AB23" s="144">
        <f t="shared" si="15"/>
        <v>1036199.9999999993</v>
      </c>
      <c r="AC23" s="144">
        <f t="shared" si="16"/>
        <v>953789.9999999998</v>
      </c>
      <c r="AD23" s="144">
        <f t="shared" si="7"/>
        <v>19075.799999999996</v>
      </c>
      <c r="AE23" s="147">
        <f t="shared" si="8"/>
        <v>162.20918367347105</v>
      </c>
      <c r="AF23">
        <f t="shared" si="9"/>
        <v>1.64</v>
      </c>
      <c r="AG23">
        <v>1</v>
      </c>
      <c r="AH23">
        <f t="shared" si="10"/>
        <v>0</v>
      </c>
    </row>
    <row r="24" spans="1:34" ht="13.5">
      <c r="A24" s="125">
        <f t="shared" si="11"/>
        <v>22</v>
      </c>
      <c r="B24" s="125">
        <f t="shared" si="12"/>
        <v>1013790</v>
      </c>
      <c r="C24" s="129">
        <f>'ルール＆合計'!$F$3</f>
        <v>0.02</v>
      </c>
      <c r="D24" s="128">
        <f t="shared" si="0"/>
        <v>20275.8</v>
      </c>
      <c r="E24" s="131">
        <v>10000</v>
      </c>
      <c r="F24" s="123" t="s">
        <v>90</v>
      </c>
      <c r="G24" s="113" t="s">
        <v>63</v>
      </c>
      <c r="H24" t="s">
        <v>64</v>
      </c>
      <c r="I24" s="135">
        <v>41486</v>
      </c>
      <c r="J24">
        <v>97.577</v>
      </c>
      <c r="K24" t="s">
        <v>174</v>
      </c>
      <c r="L24">
        <v>98.504</v>
      </c>
      <c r="N24" s="125">
        <f t="shared" si="1"/>
        <v>92.70000000000067</v>
      </c>
      <c r="O24" s="138">
        <f t="shared" si="17"/>
        <v>218.72491909384954</v>
      </c>
      <c r="P24" s="125">
        <f t="shared" si="2"/>
        <v>2.24</v>
      </c>
      <c r="R24" s="123" t="s">
        <v>63</v>
      </c>
      <c r="T24">
        <v>97.577</v>
      </c>
      <c r="U24" t="s">
        <v>189</v>
      </c>
      <c r="V24" s="125" t="str">
        <f t="shared" si="3"/>
        <v>勝ち</v>
      </c>
      <c r="W24" s="125">
        <f t="shared" si="13"/>
        <v>0</v>
      </c>
      <c r="X24" s="126">
        <f t="shared" si="14"/>
        <v>0</v>
      </c>
      <c r="Y24" s="126">
        <f t="shared" si="4"/>
        <v>0</v>
      </c>
      <c r="Z24" s="125">
        <f t="shared" si="5"/>
        <v>0</v>
      </c>
      <c r="AA24" s="125">
        <f t="shared" si="6"/>
        <v>0</v>
      </c>
      <c r="AB24" s="144">
        <f t="shared" si="15"/>
        <v>1036199.9999999993</v>
      </c>
      <c r="AC24" s="144">
        <f t="shared" si="16"/>
        <v>953789.9999999998</v>
      </c>
      <c r="AD24" s="144">
        <f t="shared" si="7"/>
        <v>19075.799999999996</v>
      </c>
      <c r="AE24" s="147">
        <f t="shared" si="8"/>
        <v>205.77993527507937</v>
      </c>
      <c r="AF24">
        <f t="shared" si="9"/>
        <v>2.1</v>
      </c>
      <c r="AG24">
        <v>2</v>
      </c>
      <c r="AH24">
        <f t="shared" si="10"/>
        <v>0</v>
      </c>
    </row>
    <row r="25" spans="1:34" ht="13.5">
      <c r="A25" s="125">
        <f t="shared" si="11"/>
        <v>23</v>
      </c>
      <c r="B25" s="125">
        <f t="shared" si="12"/>
        <v>1013790</v>
      </c>
      <c r="C25" s="129">
        <f>'ルール＆合計'!$F$3</f>
        <v>0.02</v>
      </c>
      <c r="D25" s="128">
        <f t="shared" si="0"/>
        <v>20275.8</v>
      </c>
      <c r="E25" s="131">
        <v>10000</v>
      </c>
      <c r="F25" s="123" t="s">
        <v>90</v>
      </c>
      <c r="G25" s="113" t="s">
        <v>63</v>
      </c>
      <c r="H25" t="s">
        <v>80</v>
      </c>
      <c r="I25" s="135">
        <v>41507</v>
      </c>
      <c r="J25">
        <v>97.979</v>
      </c>
      <c r="K25" t="s">
        <v>176</v>
      </c>
      <c r="L25">
        <v>97.118</v>
      </c>
      <c r="N25" s="125">
        <f t="shared" si="1"/>
        <v>86.10000000000042</v>
      </c>
      <c r="O25" s="138">
        <f t="shared" si="17"/>
        <v>235.4912891986051</v>
      </c>
      <c r="P25" s="125">
        <f t="shared" si="2"/>
        <v>2.4</v>
      </c>
      <c r="R25" s="123" t="s">
        <v>63</v>
      </c>
      <c r="T25">
        <v>97.979</v>
      </c>
      <c r="U25" t="s">
        <v>191</v>
      </c>
      <c r="V25" s="125" t="str">
        <f t="shared" si="3"/>
        <v>負け</v>
      </c>
      <c r="W25" s="125">
        <f t="shared" si="13"/>
        <v>0</v>
      </c>
      <c r="X25" s="126">
        <f t="shared" si="14"/>
        <v>0</v>
      </c>
      <c r="Y25" s="126">
        <f t="shared" si="4"/>
        <v>0</v>
      </c>
      <c r="Z25" s="125">
        <f t="shared" si="5"/>
        <v>0</v>
      </c>
      <c r="AA25" s="125">
        <f t="shared" si="6"/>
        <v>0</v>
      </c>
      <c r="AB25" s="144">
        <f t="shared" si="15"/>
        <v>1036199.9999999993</v>
      </c>
      <c r="AC25" s="144">
        <f t="shared" si="16"/>
        <v>953789.9999999998</v>
      </c>
      <c r="AD25" s="144">
        <f t="shared" si="7"/>
        <v>19075.799999999996</v>
      </c>
      <c r="AE25" s="147">
        <f t="shared" si="8"/>
        <v>221.55400696863998</v>
      </c>
      <c r="AF25">
        <f t="shared" si="9"/>
        <v>2.26</v>
      </c>
      <c r="AG25">
        <v>2</v>
      </c>
      <c r="AH25">
        <f t="shared" si="10"/>
        <v>0</v>
      </c>
    </row>
    <row r="26" spans="1:34" ht="13.5">
      <c r="A26" s="125">
        <f t="shared" si="11"/>
        <v>24</v>
      </c>
      <c r="B26" s="125">
        <f t="shared" si="12"/>
        <v>1013790</v>
      </c>
      <c r="C26" s="129">
        <f>'ルール＆合計'!$F$3</f>
        <v>0.02</v>
      </c>
      <c r="D26" s="128">
        <f t="shared" si="0"/>
        <v>20275.8</v>
      </c>
      <c r="E26" s="131">
        <v>10000</v>
      </c>
      <c r="F26" s="123" t="s">
        <v>90</v>
      </c>
      <c r="G26" s="113" t="s">
        <v>63</v>
      </c>
      <c r="H26" t="s">
        <v>64</v>
      </c>
      <c r="I26" s="135">
        <v>41535</v>
      </c>
      <c r="J26">
        <v>97.751</v>
      </c>
      <c r="K26" t="s">
        <v>169</v>
      </c>
      <c r="L26">
        <v>99.331</v>
      </c>
      <c r="N26" s="125">
        <f t="shared" si="1"/>
        <v>157.99999999999983</v>
      </c>
      <c r="O26" s="138">
        <f t="shared" si="17"/>
        <v>128.32784810126594</v>
      </c>
      <c r="P26" s="125">
        <f t="shared" si="2"/>
        <v>1.31</v>
      </c>
      <c r="R26" s="123" t="s">
        <v>63</v>
      </c>
      <c r="T26">
        <v>97.751</v>
      </c>
      <c r="U26" t="s">
        <v>192</v>
      </c>
      <c r="V26" s="125" t="str">
        <f t="shared" si="3"/>
        <v>勝ち</v>
      </c>
      <c r="W26" s="125">
        <f t="shared" si="13"/>
        <v>0</v>
      </c>
      <c r="X26" s="126">
        <f t="shared" si="14"/>
        <v>0</v>
      </c>
      <c r="Y26" s="126">
        <f t="shared" si="4"/>
        <v>0</v>
      </c>
      <c r="Z26" s="125">
        <f t="shared" si="5"/>
        <v>0</v>
      </c>
      <c r="AA26" s="125">
        <f t="shared" si="6"/>
        <v>0</v>
      </c>
      <c r="AB26" s="144">
        <f t="shared" si="15"/>
        <v>1036199.9999999993</v>
      </c>
      <c r="AC26" s="144">
        <f t="shared" si="16"/>
        <v>953789.9999999998</v>
      </c>
      <c r="AD26" s="144">
        <f t="shared" si="7"/>
        <v>19075.799999999996</v>
      </c>
      <c r="AE26" s="147">
        <f t="shared" si="8"/>
        <v>120.73291139240517</v>
      </c>
      <c r="AF26">
        <f t="shared" si="9"/>
        <v>1.23</v>
      </c>
      <c r="AG26">
        <v>1</v>
      </c>
      <c r="AH26">
        <f t="shared" si="10"/>
        <v>0</v>
      </c>
    </row>
    <row r="27" spans="1:34" ht="13.5">
      <c r="A27" s="125">
        <f t="shared" si="11"/>
        <v>25</v>
      </c>
      <c r="B27" s="125">
        <f t="shared" si="12"/>
        <v>1013790</v>
      </c>
      <c r="C27" s="129">
        <f>'ルール＆合計'!$F$3</f>
        <v>0.02</v>
      </c>
      <c r="D27" s="128">
        <f t="shared" si="0"/>
        <v>20275.8</v>
      </c>
      <c r="E27" s="131">
        <v>10000</v>
      </c>
      <c r="F27" s="123" t="s">
        <v>90</v>
      </c>
      <c r="G27" s="113" t="s">
        <v>63</v>
      </c>
      <c r="H27" t="s">
        <v>64</v>
      </c>
      <c r="I27" s="135">
        <v>41536</v>
      </c>
      <c r="J27">
        <v>97.843</v>
      </c>
      <c r="K27" t="s">
        <v>172</v>
      </c>
      <c r="L27">
        <v>99.583</v>
      </c>
      <c r="N27" s="125">
        <f t="shared" si="1"/>
        <v>173.9999999999995</v>
      </c>
      <c r="O27" s="138">
        <f t="shared" si="17"/>
        <v>116.52758620689688</v>
      </c>
      <c r="P27" s="125">
        <f t="shared" si="2"/>
        <v>1.19</v>
      </c>
      <c r="R27" s="123" t="s">
        <v>63</v>
      </c>
      <c r="T27">
        <v>97.843</v>
      </c>
      <c r="U27" t="s">
        <v>193</v>
      </c>
      <c r="V27" s="125" t="str">
        <f t="shared" si="3"/>
        <v>勝ち</v>
      </c>
      <c r="W27" s="125">
        <f t="shared" si="13"/>
        <v>0</v>
      </c>
      <c r="X27" s="126">
        <f t="shared" si="14"/>
        <v>0</v>
      </c>
      <c r="Y27" s="126">
        <f t="shared" si="4"/>
        <v>0</v>
      </c>
      <c r="Z27" s="125">
        <f t="shared" si="5"/>
        <v>0</v>
      </c>
      <c r="AA27" s="125">
        <f t="shared" si="6"/>
        <v>0</v>
      </c>
      <c r="AB27" s="144">
        <f t="shared" si="15"/>
        <v>1036199.9999999993</v>
      </c>
      <c r="AC27" s="144">
        <f t="shared" si="16"/>
        <v>953789.9999999998</v>
      </c>
      <c r="AD27" s="144">
        <f t="shared" si="7"/>
        <v>19075.799999999996</v>
      </c>
      <c r="AE27" s="147">
        <f t="shared" si="8"/>
        <v>109.63103448275892</v>
      </c>
      <c r="AF27">
        <f t="shared" si="9"/>
        <v>1.12</v>
      </c>
      <c r="AG27">
        <v>1</v>
      </c>
      <c r="AH27">
        <f t="shared" si="10"/>
        <v>0</v>
      </c>
    </row>
    <row r="28" spans="1:34" ht="13.5" customHeight="1">
      <c r="A28" s="125">
        <f t="shared" si="11"/>
        <v>26</v>
      </c>
      <c r="B28" s="125">
        <f t="shared" si="12"/>
        <v>1013790</v>
      </c>
      <c r="C28" s="129">
        <f>'ルール＆合計'!$F$3</f>
        <v>0.02</v>
      </c>
      <c r="D28" s="128">
        <f t="shared" si="0"/>
        <v>20275.8</v>
      </c>
      <c r="E28" s="131">
        <v>10000</v>
      </c>
      <c r="F28" s="123" t="s">
        <v>90</v>
      </c>
      <c r="G28" s="113" t="s">
        <v>63</v>
      </c>
      <c r="H28" t="s">
        <v>64</v>
      </c>
      <c r="I28" s="135">
        <v>41543</v>
      </c>
      <c r="J28">
        <v>98.268</v>
      </c>
      <c r="K28" t="s">
        <v>172</v>
      </c>
      <c r="L28">
        <v>99.132</v>
      </c>
      <c r="N28" s="125">
        <f t="shared" si="1"/>
        <v>86.40000000000043</v>
      </c>
      <c r="O28" s="138">
        <f t="shared" si="17"/>
        <v>234.67361111110992</v>
      </c>
      <c r="P28" s="125">
        <f t="shared" si="2"/>
        <v>2.38</v>
      </c>
      <c r="R28" s="123" t="s">
        <v>63</v>
      </c>
      <c r="T28">
        <v>97.843</v>
      </c>
      <c r="U28" t="s">
        <v>193</v>
      </c>
      <c r="V28" s="125" t="str">
        <f t="shared" si="3"/>
        <v>勝ち</v>
      </c>
      <c r="W28" s="125">
        <f>IF(T29&lt;&gt;"",T29-J28,"")</f>
        <v>-1.3190000000000026</v>
      </c>
      <c r="X28" s="126">
        <f t="shared" si="14"/>
        <v>-131.90000000000026</v>
      </c>
      <c r="Y28" s="126">
        <f t="shared" si="4"/>
        <v>0</v>
      </c>
      <c r="Z28" s="125">
        <f t="shared" si="5"/>
        <v>13190.000000000025</v>
      </c>
      <c r="AA28" s="125">
        <f t="shared" si="6"/>
        <v>0</v>
      </c>
      <c r="AB28" s="144">
        <f t="shared" si="15"/>
        <v>1036199.9999999993</v>
      </c>
      <c r="AC28" s="144">
        <f t="shared" si="16"/>
        <v>953789.9999999998</v>
      </c>
      <c r="AD28" s="144">
        <f t="shared" si="7"/>
        <v>19075.799999999996</v>
      </c>
      <c r="AE28" s="147">
        <f t="shared" si="8"/>
        <v>220.78472222222106</v>
      </c>
      <c r="AF28">
        <f t="shared" si="9"/>
        <v>2.24</v>
      </c>
      <c r="AG28">
        <v>2</v>
      </c>
      <c r="AH28">
        <f t="shared" si="10"/>
        <v>26380.00000000005</v>
      </c>
    </row>
    <row r="29" spans="1:34" ht="13.5">
      <c r="A29" s="125">
        <f t="shared" si="11"/>
        <v>27</v>
      </c>
      <c r="B29" s="125">
        <f t="shared" si="12"/>
        <v>1026980</v>
      </c>
      <c r="C29" s="129">
        <f>'ルール＆合計'!$F$3</f>
        <v>0.02</v>
      </c>
      <c r="D29" s="128">
        <f t="shared" si="0"/>
        <v>20539.600000000002</v>
      </c>
      <c r="E29" s="131">
        <v>10000</v>
      </c>
      <c r="F29" s="123" t="s">
        <v>90</v>
      </c>
      <c r="G29" s="113" t="s">
        <v>63</v>
      </c>
      <c r="H29" t="s">
        <v>64</v>
      </c>
      <c r="I29" s="135">
        <v>41544</v>
      </c>
      <c r="J29">
        <v>98.094</v>
      </c>
      <c r="K29" t="s">
        <v>169</v>
      </c>
      <c r="L29">
        <v>99.035</v>
      </c>
      <c r="N29" s="125">
        <f t="shared" si="1"/>
        <v>94.10000000000025</v>
      </c>
      <c r="O29" s="138">
        <f t="shared" si="17"/>
        <v>218.27417640807596</v>
      </c>
      <c r="P29" s="125">
        <f t="shared" si="2"/>
        <v>2.22</v>
      </c>
      <c r="Q29">
        <v>2</v>
      </c>
      <c r="R29" s="123" t="s">
        <v>63</v>
      </c>
      <c r="S29" s="135">
        <v>41556</v>
      </c>
      <c r="T29">
        <v>96.949</v>
      </c>
      <c r="U29" t="s">
        <v>194</v>
      </c>
      <c r="V29" s="127" t="str">
        <f t="shared" si="3"/>
        <v>勝ち</v>
      </c>
      <c r="W29" s="125">
        <f>IF(T30&lt;&gt;"",T30-J29,"")</f>
        <v>-0.5999999999999943</v>
      </c>
      <c r="X29" s="126">
        <f t="shared" si="14"/>
        <v>-59.99999999999943</v>
      </c>
      <c r="Y29" s="126">
        <f t="shared" si="4"/>
        <v>0</v>
      </c>
      <c r="Z29" s="125">
        <f t="shared" si="5"/>
        <v>5999.999999999944</v>
      </c>
      <c r="AA29" s="125">
        <f t="shared" si="6"/>
        <v>11999.999999999887</v>
      </c>
      <c r="AB29" s="144">
        <f t="shared" si="15"/>
        <v>1036199.9999999993</v>
      </c>
      <c r="AC29" s="144">
        <f t="shared" si="16"/>
        <v>980169.9999999998</v>
      </c>
      <c r="AD29" s="144">
        <f t="shared" si="7"/>
        <v>19603.399999999994</v>
      </c>
      <c r="AE29" s="147">
        <f t="shared" si="8"/>
        <v>208.3251859723692</v>
      </c>
      <c r="AF29">
        <f t="shared" si="9"/>
        <v>2.12</v>
      </c>
      <c r="AG29">
        <v>2</v>
      </c>
      <c r="AH29">
        <f t="shared" si="10"/>
        <v>11999.999999999887</v>
      </c>
    </row>
    <row r="30" spans="1:34" ht="13.5" customHeight="1">
      <c r="A30" s="125">
        <f t="shared" si="11"/>
        <v>28</v>
      </c>
      <c r="B30" s="125">
        <f t="shared" si="12"/>
        <v>1032980</v>
      </c>
      <c r="C30" s="129">
        <f>'ルール＆合計'!$F$3</f>
        <v>0.02</v>
      </c>
      <c r="D30" s="128">
        <f t="shared" si="0"/>
        <v>20659.600000000002</v>
      </c>
      <c r="E30" s="131">
        <v>10000</v>
      </c>
      <c r="F30" s="123" t="s">
        <v>90</v>
      </c>
      <c r="G30" s="113" t="s">
        <v>63</v>
      </c>
      <c r="H30" t="s">
        <v>64</v>
      </c>
      <c r="I30" s="135">
        <v>41547</v>
      </c>
      <c r="J30">
        <v>97.494</v>
      </c>
      <c r="K30" t="s">
        <v>177</v>
      </c>
      <c r="L30">
        <v>98.456</v>
      </c>
      <c r="N30" s="125">
        <f t="shared" si="1"/>
        <v>96.20000000000033</v>
      </c>
      <c r="O30" s="138">
        <f t="shared" si="17"/>
        <v>214.75675675675603</v>
      </c>
      <c r="P30" s="125">
        <f t="shared" si="2"/>
        <v>2.2</v>
      </c>
      <c r="R30" s="123" t="s">
        <v>63</v>
      </c>
      <c r="T30">
        <v>97.494</v>
      </c>
      <c r="U30" t="s">
        <v>195</v>
      </c>
      <c r="V30" s="125" t="str">
        <f t="shared" si="3"/>
        <v>勝ち</v>
      </c>
      <c r="W30" s="125">
        <f t="shared" si="13"/>
        <v>0</v>
      </c>
      <c r="X30" s="126">
        <f t="shared" si="14"/>
        <v>0</v>
      </c>
      <c r="Y30" s="126">
        <f t="shared" si="4"/>
        <v>0</v>
      </c>
      <c r="Z30" s="125">
        <f t="shared" si="5"/>
        <v>0</v>
      </c>
      <c r="AA30" s="125">
        <f t="shared" si="6"/>
        <v>0</v>
      </c>
      <c r="AB30" s="144">
        <f t="shared" si="15"/>
        <v>1048199.9999999992</v>
      </c>
      <c r="AC30" s="144">
        <f t="shared" si="16"/>
        <v>992169.9999999997</v>
      </c>
      <c r="AD30" s="144">
        <f t="shared" si="7"/>
        <v>19843.399999999994</v>
      </c>
      <c r="AE30" s="147">
        <f t="shared" si="8"/>
        <v>206.2723492723485</v>
      </c>
      <c r="AF30">
        <f t="shared" si="9"/>
        <v>2.11</v>
      </c>
      <c r="AG30">
        <v>2</v>
      </c>
      <c r="AH30">
        <f t="shared" si="10"/>
        <v>0</v>
      </c>
    </row>
    <row r="31" spans="1:34" ht="13.5" customHeight="1">
      <c r="A31" s="125">
        <f t="shared" si="11"/>
        <v>29</v>
      </c>
      <c r="B31" s="125">
        <f t="shared" si="12"/>
        <v>1032980</v>
      </c>
      <c r="C31" s="129">
        <f>'ルール＆合計'!$F$3</f>
        <v>0.02</v>
      </c>
      <c r="D31" s="128">
        <f t="shared" si="0"/>
        <v>20659.600000000002</v>
      </c>
      <c r="E31" s="131">
        <v>10000</v>
      </c>
      <c r="F31" s="123" t="s">
        <v>90</v>
      </c>
      <c r="G31" s="113" t="s">
        <v>63</v>
      </c>
      <c r="H31" t="s">
        <v>64</v>
      </c>
      <c r="I31" s="135">
        <v>41551</v>
      </c>
      <c r="J31">
        <v>96.949</v>
      </c>
      <c r="K31" t="s">
        <v>172</v>
      </c>
      <c r="L31">
        <v>97.477</v>
      </c>
      <c r="N31" s="125">
        <f t="shared" si="1"/>
        <v>52.80000000000058</v>
      </c>
      <c r="O31" s="138">
        <f t="shared" si="17"/>
        <v>391.2803030302988</v>
      </c>
      <c r="P31" s="125">
        <f t="shared" si="2"/>
        <v>4.03</v>
      </c>
      <c r="R31" s="123" t="s">
        <v>63</v>
      </c>
      <c r="T31">
        <v>96.949</v>
      </c>
      <c r="U31" t="s">
        <v>195</v>
      </c>
      <c r="V31" s="125" t="str">
        <f t="shared" si="3"/>
        <v>勝ち</v>
      </c>
      <c r="W31" s="125">
        <f t="shared" si="13"/>
        <v>0</v>
      </c>
      <c r="X31" s="126">
        <f t="shared" si="14"/>
        <v>0</v>
      </c>
      <c r="Y31" s="126">
        <f t="shared" si="4"/>
        <v>0</v>
      </c>
      <c r="Z31" s="125">
        <f t="shared" si="5"/>
        <v>0</v>
      </c>
      <c r="AA31" s="125">
        <f t="shared" si="6"/>
        <v>0</v>
      </c>
      <c r="AB31" s="144">
        <f t="shared" si="15"/>
        <v>1048199.9999999992</v>
      </c>
      <c r="AC31" s="144">
        <f t="shared" si="16"/>
        <v>992169.9999999997</v>
      </c>
      <c r="AD31" s="144">
        <f t="shared" si="7"/>
        <v>19843.399999999994</v>
      </c>
      <c r="AE31" s="147">
        <f t="shared" si="8"/>
        <v>375.8219696969655</v>
      </c>
      <c r="AF31">
        <f t="shared" si="9"/>
        <v>3.87</v>
      </c>
      <c r="AG31">
        <v>3</v>
      </c>
      <c r="AH31">
        <f t="shared" si="10"/>
        <v>0</v>
      </c>
    </row>
    <row r="32" spans="1:34" ht="13.5" customHeight="1">
      <c r="A32" s="125">
        <f t="shared" si="11"/>
        <v>30</v>
      </c>
      <c r="B32" s="125">
        <f t="shared" si="12"/>
        <v>1032980</v>
      </c>
      <c r="C32" s="129">
        <f>'ルール＆合計'!$F$3</f>
        <v>0.02</v>
      </c>
      <c r="D32" s="128">
        <f t="shared" si="0"/>
        <v>20659.600000000002</v>
      </c>
      <c r="E32" s="131">
        <v>10000</v>
      </c>
      <c r="F32" s="123" t="s">
        <v>90</v>
      </c>
      <c r="G32" s="113" t="s">
        <v>63</v>
      </c>
      <c r="H32" t="s">
        <v>80</v>
      </c>
      <c r="I32" s="135">
        <v>41562</v>
      </c>
      <c r="J32">
        <v>98.701</v>
      </c>
      <c r="K32" t="s">
        <v>167</v>
      </c>
      <c r="L32">
        <v>97.936</v>
      </c>
      <c r="N32" s="125">
        <f t="shared" si="1"/>
        <v>76.49999999999864</v>
      </c>
      <c r="O32" s="138">
        <f t="shared" si="17"/>
        <v>270.0601307189591</v>
      </c>
      <c r="P32" s="125">
        <f t="shared" si="2"/>
        <v>2.73</v>
      </c>
      <c r="Q32">
        <v>2</v>
      </c>
      <c r="R32" s="123" t="s">
        <v>63</v>
      </c>
      <c r="S32" s="135">
        <v>41564</v>
      </c>
      <c r="T32">
        <v>97.936</v>
      </c>
      <c r="U32" t="s">
        <v>97</v>
      </c>
      <c r="V32" s="125" t="str">
        <f t="shared" si="3"/>
        <v>負け</v>
      </c>
      <c r="W32" s="125">
        <f t="shared" si="13"/>
        <v>-0.7649999999999864</v>
      </c>
      <c r="X32" s="126">
        <f t="shared" si="14"/>
        <v>0</v>
      </c>
      <c r="Y32" s="126">
        <f t="shared" si="4"/>
        <v>-76.49999999999864</v>
      </c>
      <c r="Z32" s="125">
        <f t="shared" si="5"/>
        <v>-7649.999999999864</v>
      </c>
      <c r="AA32" s="125">
        <f t="shared" si="6"/>
        <v>-15299.999999999727</v>
      </c>
      <c r="AB32" s="144">
        <f t="shared" si="15"/>
        <v>1048199.9999999992</v>
      </c>
      <c r="AC32" s="144">
        <f t="shared" si="16"/>
        <v>992169.9999999997</v>
      </c>
      <c r="AD32" s="144">
        <f t="shared" si="7"/>
        <v>19843.399999999994</v>
      </c>
      <c r="AE32" s="147">
        <f t="shared" si="8"/>
        <v>259.3908496732072</v>
      </c>
      <c r="AF32">
        <f t="shared" si="9"/>
        <v>2.62</v>
      </c>
      <c r="AG32">
        <v>2</v>
      </c>
      <c r="AH32">
        <f t="shared" si="10"/>
        <v>-15299.999999999727</v>
      </c>
    </row>
    <row r="33" spans="1:37" ht="13.5" customHeight="1">
      <c r="A33" s="125">
        <f t="shared" si="11"/>
        <v>31</v>
      </c>
      <c r="B33" s="125">
        <f t="shared" si="12"/>
        <v>1025330</v>
      </c>
      <c r="C33" s="129">
        <f>'ルール＆合計'!$F$3</f>
        <v>0.02</v>
      </c>
      <c r="D33" s="128">
        <f t="shared" si="0"/>
        <v>20506.600000000002</v>
      </c>
      <c r="E33" s="131">
        <v>10000</v>
      </c>
      <c r="F33" s="123" t="s">
        <v>90</v>
      </c>
      <c r="G33" s="113" t="s">
        <v>63</v>
      </c>
      <c r="H33" t="s">
        <v>80</v>
      </c>
      <c r="I33" s="135">
        <v>41579</v>
      </c>
      <c r="J33">
        <v>98.847</v>
      </c>
      <c r="K33" t="s">
        <v>166</v>
      </c>
      <c r="L33">
        <v>97.802</v>
      </c>
      <c r="N33" s="125">
        <f t="shared" si="1"/>
        <v>104.49999999999875</v>
      </c>
      <c r="O33" s="138">
        <f t="shared" si="17"/>
        <v>196.23540669856698</v>
      </c>
      <c r="P33" s="125">
        <f t="shared" si="2"/>
        <v>1.98</v>
      </c>
      <c r="Q33">
        <v>1</v>
      </c>
      <c r="R33" s="123" t="s">
        <v>63</v>
      </c>
      <c r="S33" s="135">
        <v>41585</v>
      </c>
      <c r="T33">
        <v>98.397</v>
      </c>
      <c r="U33" t="s">
        <v>196</v>
      </c>
      <c r="V33" s="125" t="str">
        <f t="shared" si="3"/>
        <v>負け</v>
      </c>
      <c r="W33" s="125">
        <f t="shared" si="13"/>
        <v>-0.44999999999998863</v>
      </c>
      <c r="X33" s="126">
        <f t="shared" si="14"/>
        <v>0</v>
      </c>
      <c r="Y33" s="126">
        <f t="shared" si="4"/>
        <v>-44.99999999999886</v>
      </c>
      <c r="Z33" s="125">
        <f t="shared" si="5"/>
        <v>-4499.999999999886</v>
      </c>
      <c r="AA33" s="125">
        <f t="shared" si="6"/>
        <v>-4499.999999999886</v>
      </c>
      <c r="AB33" s="144">
        <f t="shared" si="15"/>
        <v>1032899.9999999994</v>
      </c>
      <c r="AC33" s="144">
        <f t="shared" si="16"/>
        <v>976869.9999999999</v>
      </c>
      <c r="AD33" s="144">
        <f t="shared" si="7"/>
        <v>19537.399999999998</v>
      </c>
      <c r="AE33" s="147">
        <f t="shared" si="8"/>
        <v>186.96076555024146</v>
      </c>
      <c r="AF33">
        <f t="shared" si="9"/>
        <v>1.89</v>
      </c>
      <c r="AG33">
        <v>1</v>
      </c>
      <c r="AH33">
        <f t="shared" si="10"/>
        <v>-4499.999999999886</v>
      </c>
      <c r="AJ33" t="s">
        <v>259</v>
      </c>
      <c r="AK33" t="s">
        <v>258</v>
      </c>
    </row>
    <row r="34" spans="1:37" ht="13.5" customHeight="1">
      <c r="A34" s="125">
        <f t="shared" si="11"/>
        <v>32</v>
      </c>
      <c r="B34" s="125">
        <f t="shared" si="12"/>
        <v>1020830</v>
      </c>
      <c r="C34" s="129">
        <f>'ルール＆合計'!$F$3</f>
        <v>0.02</v>
      </c>
      <c r="D34" s="128">
        <f t="shared" si="0"/>
        <v>20416.600000000002</v>
      </c>
      <c r="E34" s="131">
        <v>10000</v>
      </c>
      <c r="F34" s="123" t="s">
        <v>90</v>
      </c>
      <c r="G34" s="113" t="s">
        <v>63</v>
      </c>
      <c r="H34" t="s">
        <v>80</v>
      </c>
      <c r="I34" s="135">
        <v>41584</v>
      </c>
      <c r="J34">
        <v>98.752</v>
      </c>
      <c r="K34" t="s">
        <v>166</v>
      </c>
      <c r="L34">
        <v>98.397</v>
      </c>
      <c r="N34" s="125">
        <f t="shared" si="1"/>
        <v>35.49999999999898</v>
      </c>
      <c r="O34" s="138">
        <f t="shared" si="17"/>
        <v>575.1154929577631</v>
      </c>
      <c r="P34" s="125">
        <f t="shared" si="2"/>
        <v>5.82</v>
      </c>
      <c r="R34" s="123" t="s">
        <v>63</v>
      </c>
      <c r="T34">
        <v>98.397</v>
      </c>
      <c r="U34" t="s">
        <v>197</v>
      </c>
      <c r="V34" s="125" t="str">
        <f t="shared" si="3"/>
        <v>負け</v>
      </c>
      <c r="W34" s="125">
        <f t="shared" si="13"/>
        <v>-0.35499999999998977</v>
      </c>
      <c r="X34" s="126">
        <f t="shared" si="14"/>
        <v>0</v>
      </c>
      <c r="Y34" s="126">
        <f t="shared" si="4"/>
        <v>-35.49999999999898</v>
      </c>
      <c r="Z34" s="125">
        <f t="shared" si="5"/>
        <v>-3549.9999999998977</v>
      </c>
      <c r="AA34" s="125">
        <f t="shared" si="6"/>
        <v>0</v>
      </c>
      <c r="AB34" s="144">
        <f t="shared" si="15"/>
        <v>1028399.9999999995</v>
      </c>
      <c r="AC34" s="144">
        <f t="shared" si="16"/>
        <v>972370</v>
      </c>
      <c r="AD34" s="144">
        <f t="shared" si="7"/>
        <v>19447.4</v>
      </c>
      <c r="AE34" s="147">
        <f t="shared" si="8"/>
        <v>547.814084507058</v>
      </c>
      <c r="AF34">
        <f t="shared" si="9"/>
        <v>5.54</v>
      </c>
      <c r="AG34">
        <v>5</v>
      </c>
      <c r="AH34">
        <f t="shared" si="10"/>
        <v>-17749.999999999487</v>
      </c>
      <c r="AI34" t="s">
        <v>241</v>
      </c>
      <c r="AJ34">
        <f>SUMIF(V4:V43,"勝ち",AA4:AA43)</f>
        <v>121569.99999999953</v>
      </c>
      <c r="AK34">
        <f>SUMIF(V4:V43,"負け",AA4:AA43)</f>
        <v>-37979.99999999973</v>
      </c>
    </row>
    <row r="35" spans="1:37" ht="13.5" customHeight="1">
      <c r="A35" s="125">
        <f t="shared" si="11"/>
        <v>33</v>
      </c>
      <c r="B35" s="125">
        <f t="shared" si="12"/>
        <v>1017280</v>
      </c>
      <c r="C35" s="129">
        <f>'ルール＆合計'!$F$3</f>
        <v>0.02</v>
      </c>
      <c r="D35" s="128">
        <f t="shared" si="0"/>
        <v>20345.600000000002</v>
      </c>
      <c r="E35" s="131">
        <v>10000</v>
      </c>
      <c r="F35" s="123" t="s">
        <v>90</v>
      </c>
      <c r="G35" s="113" t="s">
        <v>63</v>
      </c>
      <c r="H35" t="s">
        <v>80</v>
      </c>
      <c r="I35" s="135">
        <v>41586</v>
      </c>
      <c r="J35">
        <v>97.972</v>
      </c>
      <c r="K35" t="s">
        <v>166</v>
      </c>
      <c r="L35">
        <v>99.218</v>
      </c>
      <c r="N35" s="125">
        <f t="shared" si="1"/>
        <v>124.60000000000093</v>
      </c>
      <c r="O35" s="138">
        <f t="shared" si="17"/>
        <v>163.28731942214966</v>
      </c>
      <c r="P35" s="125">
        <f t="shared" si="2"/>
        <v>1.66</v>
      </c>
      <c r="Q35">
        <v>1</v>
      </c>
      <c r="R35" s="123" t="s">
        <v>63</v>
      </c>
      <c r="S35" s="135">
        <v>41639</v>
      </c>
      <c r="T35">
        <v>104.814</v>
      </c>
      <c r="U35" t="s">
        <v>179</v>
      </c>
      <c r="V35" s="125" t="str">
        <f t="shared" si="3"/>
        <v>勝ち</v>
      </c>
      <c r="W35" s="125">
        <f t="shared" si="13"/>
        <v>6.841999999999999</v>
      </c>
      <c r="X35" s="126">
        <f t="shared" si="14"/>
        <v>684.1999999999998</v>
      </c>
      <c r="Y35" s="126">
        <f t="shared" si="4"/>
        <v>0</v>
      </c>
      <c r="Z35" s="125">
        <f t="shared" si="5"/>
        <v>68419.99999999999</v>
      </c>
      <c r="AA35" s="125">
        <f t="shared" si="6"/>
        <v>68419.99999999999</v>
      </c>
      <c r="AB35" s="144">
        <f t="shared" si="15"/>
        <v>1028399.9999999995</v>
      </c>
      <c r="AC35" s="144">
        <f t="shared" si="16"/>
        <v>954620.0000000005</v>
      </c>
      <c r="AD35" s="144">
        <f t="shared" si="7"/>
        <v>19092.40000000001</v>
      </c>
      <c r="AE35" s="147">
        <f t="shared" si="8"/>
        <v>153.2295345104323</v>
      </c>
      <c r="AF35">
        <f t="shared" si="9"/>
        <v>1.56</v>
      </c>
      <c r="AG35">
        <v>1</v>
      </c>
      <c r="AH35">
        <f t="shared" si="10"/>
        <v>68419.99999999999</v>
      </c>
      <c r="AI35" t="s">
        <v>260</v>
      </c>
      <c r="AJ35">
        <f>COUNTIF(X3:X42,"&lt;&gt;0")</f>
        <v>7</v>
      </c>
      <c r="AK35">
        <f>COUNTIF(Y3:Y42,"&lt;&gt;0")</f>
        <v>6</v>
      </c>
    </row>
    <row r="36" spans="1:34" ht="13.5" customHeight="1">
      <c r="A36" s="125">
        <f t="shared" si="11"/>
        <v>34</v>
      </c>
      <c r="B36" s="125">
        <f t="shared" si="12"/>
        <v>1085700</v>
      </c>
      <c r="C36" s="129">
        <f>'ルール＆合計'!$F$3</f>
        <v>0.02</v>
      </c>
      <c r="D36" s="128">
        <f t="shared" si="0"/>
        <v>21714</v>
      </c>
      <c r="E36" s="131">
        <v>10000</v>
      </c>
      <c r="F36" s="123" t="s">
        <v>90</v>
      </c>
      <c r="G36" s="113" t="s">
        <v>63</v>
      </c>
      <c r="H36" t="s">
        <v>80</v>
      </c>
      <c r="I36" s="135">
        <v>41590</v>
      </c>
      <c r="J36">
        <v>99.797</v>
      </c>
      <c r="K36" t="s">
        <v>166</v>
      </c>
      <c r="L36">
        <v>99.1</v>
      </c>
      <c r="N36" s="125">
        <f t="shared" si="1"/>
        <v>69.70000000000027</v>
      </c>
      <c r="O36" s="138">
        <f t="shared" si="17"/>
        <v>311.5351506456229</v>
      </c>
      <c r="P36" s="125">
        <f t="shared" si="2"/>
        <v>3.12</v>
      </c>
      <c r="R36" s="123" t="s">
        <v>63</v>
      </c>
      <c r="T36">
        <v>99.797</v>
      </c>
      <c r="U36" t="s">
        <v>198</v>
      </c>
      <c r="V36" s="125" t="str">
        <f t="shared" si="3"/>
        <v>負け</v>
      </c>
      <c r="W36" s="125">
        <f t="shared" si="13"/>
        <v>0</v>
      </c>
      <c r="X36" s="126">
        <f t="shared" si="14"/>
        <v>0</v>
      </c>
      <c r="Y36" s="126">
        <f t="shared" si="4"/>
        <v>0</v>
      </c>
      <c r="Z36" s="125">
        <f t="shared" si="5"/>
        <v>0</v>
      </c>
      <c r="AA36" s="125">
        <f t="shared" si="6"/>
        <v>0</v>
      </c>
      <c r="AB36" s="144">
        <f t="shared" si="15"/>
        <v>1096819.9999999995</v>
      </c>
      <c r="AC36" s="144">
        <f t="shared" si="16"/>
        <v>1023040.0000000005</v>
      </c>
      <c r="AD36" s="144">
        <f t="shared" si="7"/>
        <v>20460.80000000001</v>
      </c>
      <c r="AE36" s="147">
        <f t="shared" si="8"/>
        <v>293.55523672883686</v>
      </c>
      <c r="AF36">
        <f t="shared" si="9"/>
        <v>2.94</v>
      </c>
      <c r="AG36">
        <v>2</v>
      </c>
      <c r="AH36">
        <f t="shared" si="10"/>
        <v>0</v>
      </c>
    </row>
    <row r="37" spans="1:34" ht="13.5" customHeight="1">
      <c r="A37" s="125">
        <f t="shared" si="11"/>
        <v>35</v>
      </c>
      <c r="B37" s="125">
        <f t="shared" si="12"/>
        <v>1085700</v>
      </c>
      <c r="C37" s="129">
        <f>'ルール＆合計'!$F$3</f>
        <v>0.02</v>
      </c>
      <c r="D37" s="128">
        <f t="shared" si="0"/>
        <v>21714</v>
      </c>
      <c r="E37" s="131">
        <v>10000</v>
      </c>
      <c r="F37" s="123" t="s">
        <v>90</v>
      </c>
      <c r="G37" s="113" t="s">
        <v>63</v>
      </c>
      <c r="H37" t="s">
        <v>80</v>
      </c>
      <c r="I37" s="135">
        <v>41611</v>
      </c>
      <c r="J37">
        <v>103.375</v>
      </c>
      <c r="K37" t="s">
        <v>167</v>
      </c>
      <c r="L37">
        <v>101.97</v>
      </c>
      <c r="N37" s="125">
        <f t="shared" si="1"/>
        <v>140.5000000000001</v>
      </c>
      <c r="O37" s="138">
        <f t="shared" si="17"/>
        <v>154.5480427046262</v>
      </c>
      <c r="P37" s="125">
        <f t="shared" si="2"/>
        <v>1.49</v>
      </c>
      <c r="R37" s="123" t="s">
        <v>63</v>
      </c>
      <c r="T37">
        <v>103.375</v>
      </c>
      <c r="U37" t="s">
        <v>195</v>
      </c>
      <c r="V37" s="125" t="str">
        <f t="shared" si="3"/>
        <v>負け</v>
      </c>
      <c r="W37" s="125">
        <f t="shared" si="13"/>
        <v>0</v>
      </c>
      <c r="X37" s="126">
        <f t="shared" si="14"/>
        <v>0</v>
      </c>
      <c r="Y37" s="126">
        <f t="shared" si="4"/>
        <v>0</v>
      </c>
      <c r="Z37" s="125">
        <f t="shared" si="5"/>
        <v>0</v>
      </c>
      <c r="AA37" s="125">
        <f t="shared" si="6"/>
        <v>0</v>
      </c>
      <c r="AB37" s="144">
        <f t="shared" si="15"/>
        <v>1096819.9999999995</v>
      </c>
      <c r="AC37" s="144">
        <f t="shared" si="16"/>
        <v>1023040.0000000005</v>
      </c>
      <c r="AD37" s="144">
        <f t="shared" si="7"/>
        <v>20460.80000000001</v>
      </c>
      <c r="AE37" s="147">
        <f t="shared" si="8"/>
        <v>145.62846975088962</v>
      </c>
      <c r="AF37">
        <f t="shared" si="9"/>
        <v>1.4</v>
      </c>
      <c r="AG37">
        <v>1</v>
      </c>
      <c r="AH37">
        <f t="shared" si="10"/>
        <v>0</v>
      </c>
    </row>
    <row r="38" spans="1:34" ht="13.5" customHeight="1">
      <c r="A38" s="125">
        <f t="shared" si="11"/>
        <v>36</v>
      </c>
      <c r="B38" s="125">
        <f t="shared" si="12"/>
        <v>1085700</v>
      </c>
      <c r="C38" s="129">
        <f>'ルール＆合計'!$F$3</f>
        <v>0.02</v>
      </c>
      <c r="D38" s="128">
        <f t="shared" si="0"/>
        <v>21714</v>
      </c>
      <c r="E38" s="131">
        <v>10000</v>
      </c>
      <c r="F38" s="123" t="s">
        <v>90</v>
      </c>
      <c r="G38" s="113" t="s">
        <v>63</v>
      </c>
      <c r="H38" t="s">
        <v>80</v>
      </c>
      <c r="I38" s="135">
        <v>41614</v>
      </c>
      <c r="J38">
        <v>102.959</v>
      </c>
      <c r="K38" t="s">
        <v>166</v>
      </c>
      <c r="L38">
        <v>101.625</v>
      </c>
      <c r="N38" s="125">
        <f t="shared" si="1"/>
        <v>133.40000000000032</v>
      </c>
      <c r="O38" s="138">
        <f t="shared" si="17"/>
        <v>162.77361319340292</v>
      </c>
      <c r="P38" s="125">
        <f t="shared" si="2"/>
        <v>1.58</v>
      </c>
      <c r="R38" s="123" t="s">
        <v>63</v>
      </c>
      <c r="T38">
        <v>102.959</v>
      </c>
      <c r="U38" t="s">
        <v>198</v>
      </c>
      <c r="V38" s="125" t="str">
        <f t="shared" si="3"/>
        <v>負け</v>
      </c>
      <c r="W38" s="125">
        <f t="shared" si="13"/>
        <v>0</v>
      </c>
      <c r="X38" s="126">
        <f t="shared" si="14"/>
        <v>0</v>
      </c>
      <c r="Y38" s="126">
        <f t="shared" si="4"/>
        <v>0</v>
      </c>
      <c r="Z38" s="125">
        <f t="shared" si="5"/>
        <v>0</v>
      </c>
      <c r="AA38" s="125">
        <f t="shared" si="6"/>
        <v>0</v>
      </c>
      <c r="AB38" s="144">
        <f t="shared" si="15"/>
        <v>1096819.9999999995</v>
      </c>
      <c r="AC38" s="144">
        <f t="shared" si="16"/>
        <v>1023040.0000000005</v>
      </c>
      <c r="AD38" s="144">
        <f t="shared" si="7"/>
        <v>20460.80000000001</v>
      </c>
      <c r="AE38" s="147">
        <f t="shared" si="8"/>
        <v>153.3793103448273</v>
      </c>
      <c r="AF38">
        <f t="shared" si="9"/>
        <v>1.48</v>
      </c>
      <c r="AG38">
        <v>1</v>
      </c>
      <c r="AH38">
        <f t="shared" si="10"/>
        <v>0</v>
      </c>
    </row>
    <row r="39" spans="1:34" ht="13.5" customHeight="1">
      <c r="A39" s="125">
        <f t="shared" si="11"/>
        <v>37</v>
      </c>
      <c r="B39" s="125">
        <f t="shared" si="12"/>
        <v>1085700</v>
      </c>
      <c r="C39" s="129">
        <f>'ルール＆合計'!$F$3</f>
        <v>0.02</v>
      </c>
      <c r="D39" s="128">
        <f t="shared" si="0"/>
        <v>21714</v>
      </c>
      <c r="E39" s="131">
        <v>10000</v>
      </c>
      <c r="F39" s="123" t="s">
        <v>90</v>
      </c>
      <c r="G39" s="113" t="s">
        <v>63</v>
      </c>
      <c r="H39" t="s">
        <v>80</v>
      </c>
      <c r="I39" s="135">
        <v>41618</v>
      </c>
      <c r="J39">
        <v>103.388</v>
      </c>
      <c r="K39" t="s">
        <v>167</v>
      </c>
      <c r="L39">
        <v>102.574</v>
      </c>
      <c r="N39" s="125">
        <f t="shared" si="1"/>
        <v>81.40000000000072</v>
      </c>
      <c r="O39" s="138">
        <f t="shared" si="17"/>
        <v>266.7567567567544</v>
      </c>
      <c r="P39" s="125">
        <f t="shared" si="2"/>
        <v>2.58</v>
      </c>
      <c r="R39" s="123" t="s">
        <v>63</v>
      </c>
      <c r="T39">
        <v>103.388</v>
      </c>
      <c r="U39" t="s">
        <v>199</v>
      </c>
      <c r="V39" s="125" t="str">
        <f t="shared" si="3"/>
        <v>負け</v>
      </c>
      <c r="W39" s="125">
        <f t="shared" si="13"/>
        <v>0</v>
      </c>
      <c r="X39" s="126">
        <f t="shared" si="14"/>
        <v>0</v>
      </c>
      <c r="Y39" s="126">
        <f t="shared" si="4"/>
        <v>0</v>
      </c>
      <c r="Z39" s="125">
        <f t="shared" si="5"/>
        <v>0</v>
      </c>
      <c r="AA39" s="125">
        <f t="shared" si="6"/>
        <v>0</v>
      </c>
      <c r="AB39" s="144">
        <f t="shared" si="15"/>
        <v>1096819.9999999995</v>
      </c>
      <c r="AC39" s="144">
        <f t="shared" si="16"/>
        <v>1023040.0000000005</v>
      </c>
      <c r="AD39" s="144">
        <f t="shared" si="7"/>
        <v>20460.80000000001</v>
      </c>
      <c r="AE39" s="147">
        <f t="shared" si="8"/>
        <v>251.36117936117728</v>
      </c>
      <c r="AF39">
        <f t="shared" si="9"/>
        <v>2.43</v>
      </c>
      <c r="AG39">
        <v>2</v>
      </c>
      <c r="AH39">
        <f t="shared" si="10"/>
        <v>0</v>
      </c>
    </row>
    <row r="40" spans="1:34" ht="13.5" customHeight="1">
      <c r="A40" s="125">
        <f t="shared" si="11"/>
        <v>38</v>
      </c>
      <c r="B40" s="125">
        <f t="shared" si="12"/>
        <v>1085700</v>
      </c>
      <c r="C40" s="129">
        <f>'ルール＆合計'!$F$3</f>
        <v>0.02</v>
      </c>
      <c r="D40" s="128">
        <f t="shared" si="0"/>
        <v>21714</v>
      </c>
      <c r="E40" s="131">
        <v>10000</v>
      </c>
      <c r="F40" s="123" t="s">
        <v>90</v>
      </c>
      <c r="G40" s="113" t="s">
        <v>63</v>
      </c>
      <c r="H40" t="s">
        <v>80</v>
      </c>
      <c r="I40" s="135">
        <v>41620</v>
      </c>
      <c r="J40">
        <v>103.426</v>
      </c>
      <c r="K40" t="s">
        <v>166</v>
      </c>
      <c r="L40">
        <v>102.359</v>
      </c>
      <c r="N40" s="125">
        <f t="shared" si="1"/>
        <v>106.70000000000073</v>
      </c>
      <c r="O40" s="138">
        <f t="shared" si="17"/>
        <v>203.50515463917387</v>
      </c>
      <c r="P40" s="125">
        <f t="shared" si="2"/>
        <v>1.96</v>
      </c>
      <c r="R40" s="123" t="s">
        <v>63</v>
      </c>
      <c r="T40">
        <v>103.426</v>
      </c>
      <c r="U40" t="s">
        <v>198</v>
      </c>
      <c r="V40" s="125" t="str">
        <f t="shared" si="3"/>
        <v>負け</v>
      </c>
      <c r="W40" s="125">
        <f t="shared" si="13"/>
        <v>0</v>
      </c>
      <c r="X40" s="126">
        <f t="shared" si="14"/>
        <v>0</v>
      </c>
      <c r="Y40" s="126">
        <f t="shared" si="4"/>
        <v>0</v>
      </c>
      <c r="Z40" s="125">
        <f t="shared" si="5"/>
        <v>0</v>
      </c>
      <c r="AA40" s="125">
        <f t="shared" si="6"/>
        <v>0</v>
      </c>
      <c r="AB40" s="144">
        <f t="shared" si="15"/>
        <v>1096819.9999999995</v>
      </c>
      <c r="AC40" s="144">
        <f t="shared" si="16"/>
        <v>1023040.0000000005</v>
      </c>
      <c r="AD40" s="144">
        <f t="shared" si="7"/>
        <v>20460.80000000001</v>
      </c>
      <c r="AE40" s="147">
        <f t="shared" si="8"/>
        <v>191.7600749765686</v>
      </c>
      <c r="AF40">
        <f t="shared" si="9"/>
        <v>1.85</v>
      </c>
      <c r="AG40">
        <v>1</v>
      </c>
      <c r="AH40">
        <f t="shared" si="10"/>
        <v>0</v>
      </c>
    </row>
    <row r="41" spans="1:34" ht="13.5" customHeight="1">
      <c r="A41" s="125">
        <f t="shared" si="11"/>
        <v>39</v>
      </c>
      <c r="B41" s="125">
        <f t="shared" si="12"/>
        <v>1085700</v>
      </c>
      <c r="C41" s="129">
        <f>'ルール＆合計'!$F$3</f>
        <v>0.02</v>
      </c>
      <c r="D41" s="128">
        <f t="shared" si="0"/>
        <v>21714</v>
      </c>
      <c r="E41" s="131">
        <v>10000</v>
      </c>
      <c r="F41" s="123" t="s">
        <v>90</v>
      </c>
      <c r="G41" s="113" t="s">
        <v>63</v>
      </c>
      <c r="H41" t="s">
        <v>80</v>
      </c>
      <c r="I41" s="135">
        <v>41626</v>
      </c>
      <c r="J41">
        <v>104.352</v>
      </c>
      <c r="K41" t="s">
        <v>166</v>
      </c>
      <c r="L41">
        <v>102.56</v>
      </c>
      <c r="N41" s="125">
        <f t="shared" si="1"/>
        <v>179.20000000000016</v>
      </c>
      <c r="O41" s="138">
        <f t="shared" si="17"/>
        <v>121.17187499999989</v>
      </c>
      <c r="P41" s="125">
        <f t="shared" si="2"/>
        <v>1.16</v>
      </c>
      <c r="R41" s="123" t="s">
        <v>63</v>
      </c>
      <c r="T41">
        <v>104.352</v>
      </c>
      <c r="U41" t="s">
        <v>198</v>
      </c>
      <c r="V41" s="125" t="str">
        <f t="shared" si="3"/>
        <v>負け</v>
      </c>
      <c r="W41" s="125">
        <f t="shared" si="13"/>
        <v>0</v>
      </c>
      <c r="X41" s="126">
        <f t="shared" si="14"/>
        <v>0</v>
      </c>
      <c r="Y41" s="126">
        <f t="shared" si="4"/>
        <v>0</v>
      </c>
      <c r="Z41" s="125">
        <f t="shared" si="5"/>
        <v>0</v>
      </c>
      <c r="AA41" s="125">
        <f t="shared" si="6"/>
        <v>0</v>
      </c>
      <c r="AB41" s="144">
        <f t="shared" si="15"/>
        <v>1096819.9999999995</v>
      </c>
      <c r="AC41" s="144">
        <f t="shared" si="16"/>
        <v>1023040.0000000005</v>
      </c>
      <c r="AD41" s="144">
        <f t="shared" si="7"/>
        <v>20460.80000000001</v>
      </c>
      <c r="AE41" s="147">
        <f t="shared" si="8"/>
        <v>114.17857142857139</v>
      </c>
      <c r="AF41">
        <f t="shared" si="9"/>
        <v>1.09</v>
      </c>
      <c r="AG41">
        <v>1</v>
      </c>
      <c r="AH41">
        <f t="shared" si="10"/>
        <v>0</v>
      </c>
    </row>
    <row r="42" spans="1:37" ht="13.5" customHeight="1">
      <c r="A42" s="125">
        <f t="shared" si="11"/>
        <v>40</v>
      </c>
      <c r="B42" s="125">
        <f t="shared" si="12"/>
        <v>1085700</v>
      </c>
      <c r="C42" s="129">
        <f>'ルール＆合計'!$F$3</f>
        <v>0.02</v>
      </c>
      <c r="D42" s="128">
        <f t="shared" si="0"/>
        <v>21714</v>
      </c>
      <c r="E42" s="131">
        <v>10000</v>
      </c>
      <c r="F42" s="123" t="s">
        <v>90</v>
      </c>
      <c r="G42" s="113" t="s">
        <v>63</v>
      </c>
      <c r="H42" t="s">
        <v>80</v>
      </c>
      <c r="I42" s="135">
        <v>41639</v>
      </c>
      <c r="J42">
        <v>105.299</v>
      </c>
      <c r="K42" t="s">
        <v>200</v>
      </c>
      <c r="L42">
        <v>104.814</v>
      </c>
      <c r="N42" s="125">
        <f t="shared" si="1"/>
        <v>48.500000000001364</v>
      </c>
      <c r="O42" s="138">
        <f t="shared" si="17"/>
        <v>447.71134020617296</v>
      </c>
      <c r="P42" s="125">
        <f t="shared" si="2"/>
        <v>4.25</v>
      </c>
      <c r="R42" s="123" t="s">
        <v>63</v>
      </c>
      <c r="T42">
        <v>105.299</v>
      </c>
      <c r="U42" t="s">
        <v>198</v>
      </c>
      <c r="V42" s="125" t="str">
        <f t="shared" si="3"/>
        <v>負け</v>
      </c>
      <c r="W42" s="125">
        <f t="shared" si="13"/>
        <v>0</v>
      </c>
      <c r="X42" s="126">
        <f t="shared" si="14"/>
        <v>0</v>
      </c>
      <c r="Y42" s="126">
        <f t="shared" si="4"/>
        <v>0</v>
      </c>
      <c r="Z42" s="125">
        <f t="shared" si="5"/>
        <v>0</v>
      </c>
      <c r="AA42" s="125">
        <f t="shared" si="6"/>
        <v>0</v>
      </c>
      <c r="AB42" s="151">
        <f t="shared" si="15"/>
        <v>1096819.9999999995</v>
      </c>
      <c r="AC42" s="151">
        <f t="shared" si="16"/>
        <v>1023040.0000000005</v>
      </c>
      <c r="AD42" s="151">
        <f t="shared" si="7"/>
        <v>20460.80000000001</v>
      </c>
      <c r="AE42" s="152">
        <f t="shared" si="8"/>
        <v>421.87216494844193</v>
      </c>
      <c r="AF42" s="150">
        <f t="shared" si="9"/>
        <v>4</v>
      </c>
      <c r="AG42" s="150">
        <v>4</v>
      </c>
      <c r="AH42" s="150">
        <f t="shared" si="10"/>
        <v>0</v>
      </c>
      <c r="AI42" s="150"/>
      <c r="AJ42" s="150"/>
      <c r="AK42" s="150"/>
    </row>
    <row r="43" spans="1:34" ht="13.5" customHeight="1">
      <c r="A43" s="125">
        <f t="shared" si="11"/>
        <v>41</v>
      </c>
      <c r="B43" s="125">
        <f t="shared" si="12"/>
        <v>1085700</v>
      </c>
      <c r="C43" s="129">
        <f>'ルール＆合計'!$F$3</f>
        <v>0.02</v>
      </c>
      <c r="D43" s="128">
        <f t="shared" si="0"/>
        <v>21714</v>
      </c>
      <c r="E43" s="131">
        <v>10000</v>
      </c>
      <c r="F43" s="123" t="s">
        <v>90</v>
      </c>
      <c r="G43" s="113" t="s">
        <v>63</v>
      </c>
      <c r="H43" t="s">
        <v>64</v>
      </c>
      <c r="I43" s="146">
        <v>41653</v>
      </c>
      <c r="J43">
        <v>102.886</v>
      </c>
      <c r="K43" t="s">
        <v>201</v>
      </c>
      <c r="L43">
        <v>104.284</v>
      </c>
      <c r="N43" s="125">
        <f t="shared" si="1"/>
        <v>139.80000000000103</v>
      </c>
      <c r="O43" s="138">
        <f t="shared" si="17"/>
        <v>155.32188841201602</v>
      </c>
      <c r="P43" s="125">
        <f t="shared" si="2"/>
        <v>1.5</v>
      </c>
      <c r="R43" s="123" t="s">
        <v>63</v>
      </c>
      <c r="T43">
        <v>102.886</v>
      </c>
      <c r="U43" t="s">
        <v>202</v>
      </c>
      <c r="V43" s="125" t="str">
        <f t="shared" si="3"/>
        <v>勝ち</v>
      </c>
      <c r="W43" s="125">
        <f t="shared" si="13"/>
        <v>0</v>
      </c>
      <c r="X43" s="126">
        <f t="shared" si="14"/>
        <v>0</v>
      </c>
      <c r="Y43" s="126">
        <f t="shared" si="4"/>
        <v>0</v>
      </c>
      <c r="Z43" s="125">
        <f t="shared" si="5"/>
        <v>0</v>
      </c>
      <c r="AA43" s="125">
        <f t="shared" si="6"/>
        <v>0</v>
      </c>
      <c r="AB43" s="144">
        <f t="shared" si="15"/>
        <v>1096819.9999999995</v>
      </c>
      <c r="AC43" s="144">
        <f t="shared" si="16"/>
        <v>1023040.0000000005</v>
      </c>
      <c r="AD43" s="144">
        <f t="shared" si="7"/>
        <v>20460.80000000001</v>
      </c>
      <c r="AE43" s="147">
        <f t="shared" si="8"/>
        <v>146.35765379112917</v>
      </c>
      <c r="AF43">
        <f t="shared" si="9"/>
        <v>1.42</v>
      </c>
      <c r="AG43">
        <v>1</v>
      </c>
      <c r="AH43">
        <f t="shared" si="10"/>
        <v>0</v>
      </c>
    </row>
    <row r="44" spans="1:34" ht="13.5" customHeight="1">
      <c r="A44" s="125">
        <f t="shared" si="11"/>
        <v>42</v>
      </c>
      <c r="B44" s="125">
        <f t="shared" si="12"/>
        <v>1085700</v>
      </c>
      <c r="C44" s="129">
        <f>'ルール＆合計'!$F$3</f>
        <v>0.02</v>
      </c>
      <c r="D44" s="128">
        <f t="shared" si="0"/>
        <v>21714</v>
      </c>
      <c r="E44" s="131">
        <v>10000</v>
      </c>
      <c r="F44" s="123" t="s">
        <v>90</v>
      </c>
      <c r="G44" s="113" t="s">
        <v>63</v>
      </c>
      <c r="H44" t="s">
        <v>64</v>
      </c>
      <c r="I44" s="135">
        <v>41662</v>
      </c>
      <c r="J44">
        <v>102.97</v>
      </c>
      <c r="K44" t="s">
        <v>203</v>
      </c>
      <c r="L44">
        <v>104.839</v>
      </c>
      <c r="N44" s="125">
        <f t="shared" si="1"/>
        <v>186.89999999999998</v>
      </c>
      <c r="O44" s="138">
        <f t="shared" si="17"/>
        <v>116.1797752808989</v>
      </c>
      <c r="P44" s="125">
        <f t="shared" si="2"/>
        <v>1.12</v>
      </c>
      <c r="Q44">
        <v>1</v>
      </c>
      <c r="R44" s="123" t="s">
        <v>63</v>
      </c>
      <c r="S44" s="135">
        <v>41704</v>
      </c>
      <c r="T44">
        <v>102.608</v>
      </c>
      <c r="U44" t="s">
        <v>179</v>
      </c>
      <c r="V44" s="125" t="str">
        <f t="shared" si="3"/>
        <v>勝ち</v>
      </c>
      <c r="W44" s="125">
        <f t="shared" si="13"/>
        <v>-0.36199999999999477</v>
      </c>
      <c r="X44" s="126">
        <f t="shared" si="14"/>
        <v>-36.19999999999948</v>
      </c>
      <c r="Y44" s="126">
        <f t="shared" si="4"/>
        <v>0</v>
      </c>
      <c r="Z44" s="125">
        <f t="shared" si="5"/>
        <v>3619.9999999999477</v>
      </c>
      <c r="AA44" s="125">
        <f t="shared" si="6"/>
        <v>3619.9999999999477</v>
      </c>
      <c r="AB44" s="144">
        <f t="shared" si="15"/>
        <v>1096819.9999999995</v>
      </c>
      <c r="AC44" s="144">
        <f t="shared" si="16"/>
        <v>1023040.0000000005</v>
      </c>
      <c r="AD44" s="144">
        <f t="shared" si="7"/>
        <v>20460.80000000001</v>
      </c>
      <c r="AE44" s="147">
        <f t="shared" si="8"/>
        <v>109.47458533975394</v>
      </c>
      <c r="AF44">
        <f t="shared" si="9"/>
        <v>1.06</v>
      </c>
      <c r="AG44">
        <v>1</v>
      </c>
      <c r="AH44">
        <f t="shared" si="10"/>
        <v>3619.9999999999477</v>
      </c>
    </row>
    <row r="45" spans="1:34" ht="13.5" customHeight="1">
      <c r="A45" s="125">
        <f t="shared" si="11"/>
        <v>43</v>
      </c>
      <c r="B45" s="125">
        <f t="shared" si="12"/>
        <v>1089320</v>
      </c>
      <c r="C45" s="129">
        <f>'ルール＆合計'!$F$3</f>
        <v>0.02</v>
      </c>
      <c r="D45" s="128">
        <f t="shared" si="0"/>
        <v>21786.4</v>
      </c>
      <c r="E45" s="131">
        <v>10000</v>
      </c>
      <c r="F45" s="123" t="s">
        <v>90</v>
      </c>
      <c r="G45" s="113" t="s">
        <v>63</v>
      </c>
      <c r="H45" t="s">
        <v>64</v>
      </c>
      <c r="I45" s="135">
        <v>41670</v>
      </c>
      <c r="J45">
        <v>101.915</v>
      </c>
      <c r="K45" t="s">
        <v>203</v>
      </c>
      <c r="L45">
        <v>102.933</v>
      </c>
      <c r="N45" s="125">
        <f t="shared" si="1"/>
        <v>101.80000000000007</v>
      </c>
      <c r="O45" s="138">
        <f t="shared" si="17"/>
        <v>214.0117878192533</v>
      </c>
      <c r="P45" s="125">
        <f t="shared" si="2"/>
        <v>2.09</v>
      </c>
      <c r="R45" s="123" t="s">
        <v>63</v>
      </c>
      <c r="T45">
        <v>101.915</v>
      </c>
      <c r="U45" t="s">
        <v>204</v>
      </c>
      <c r="V45" s="125" t="str">
        <f t="shared" si="3"/>
        <v>勝ち</v>
      </c>
      <c r="W45" s="125">
        <f t="shared" si="13"/>
        <v>0</v>
      </c>
      <c r="X45" s="126">
        <f t="shared" si="14"/>
        <v>0</v>
      </c>
      <c r="Y45" s="126">
        <f t="shared" si="4"/>
        <v>0</v>
      </c>
      <c r="Z45" s="125">
        <f t="shared" si="5"/>
        <v>0</v>
      </c>
      <c r="AA45" s="125">
        <f t="shared" si="6"/>
        <v>0</v>
      </c>
      <c r="AB45" s="144">
        <f t="shared" si="15"/>
        <v>1100439.9999999995</v>
      </c>
      <c r="AC45" s="144">
        <f t="shared" si="16"/>
        <v>1026660.0000000005</v>
      </c>
      <c r="AD45" s="144">
        <f t="shared" si="7"/>
        <v>20533.200000000008</v>
      </c>
      <c r="AE45" s="147">
        <f t="shared" si="8"/>
        <v>201.7013752455795</v>
      </c>
      <c r="AF45">
        <f t="shared" si="9"/>
        <v>1.97</v>
      </c>
      <c r="AG45">
        <v>1</v>
      </c>
      <c r="AH45">
        <f t="shared" si="10"/>
        <v>0</v>
      </c>
    </row>
    <row r="46" spans="1:34" ht="13.5" customHeight="1">
      <c r="A46" s="125">
        <f t="shared" si="11"/>
        <v>44</v>
      </c>
      <c r="B46" s="125">
        <f t="shared" si="12"/>
        <v>1089320</v>
      </c>
      <c r="C46" s="129">
        <f>'ルール＆合計'!$F$3</f>
        <v>0.02</v>
      </c>
      <c r="D46" s="128">
        <f t="shared" si="0"/>
        <v>21786.4</v>
      </c>
      <c r="E46" s="131">
        <v>10000</v>
      </c>
      <c r="F46" s="123" t="s">
        <v>90</v>
      </c>
      <c r="G46" s="113" t="s">
        <v>63</v>
      </c>
      <c r="H46" t="s">
        <v>64</v>
      </c>
      <c r="I46" s="135">
        <v>41676</v>
      </c>
      <c r="J46">
        <v>101.24</v>
      </c>
      <c r="K46" t="s">
        <v>205</v>
      </c>
      <c r="L46">
        <v>102.171</v>
      </c>
      <c r="N46" s="125">
        <f t="shared" si="1"/>
        <v>93.10000000000116</v>
      </c>
      <c r="O46" s="138">
        <f t="shared" si="17"/>
        <v>234.0107411385578</v>
      </c>
      <c r="P46" s="125">
        <f t="shared" si="2"/>
        <v>2.31</v>
      </c>
      <c r="R46" s="123" t="s">
        <v>63</v>
      </c>
      <c r="T46">
        <v>101.24</v>
      </c>
      <c r="U46" t="s">
        <v>202</v>
      </c>
      <c r="V46" s="125" t="str">
        <f t="shared" si="3"/>
        <v>勝ち</v>
      </c>
      <c r="W46" s="125">
        <f t="shared" si="13"/>
        <v>0</v>
      </c>
      <c r="X46" s="126">
        <f t="shared" si="14"/>
        <v>0</v>
      </c>
      <c r="Y46" s="126">
        <f t="shared" si="4"/>
        <v>0</v>
      </c>
      <c r="Z46" s="125">
        <f t="shared" si="5"/>
        <v>0</v>
      </c>
      <c r="AA46" s="125">
        <f t="shared" si="6"/>
        <v>0</v>
      </c>
      <c r="AB46" s="144">
        <f t="shared" si="15"/>
        <v>1100439.9999999995</v>
      </c>
      <c r="AC46" s="144">
        <f t="shared" si="16"/>
        <v>1026660.0000000005</v>
      </c>
      <c r="AD46" s="144">
        <f t="shared" si="7"/>
        <v>20533.200000000008</v>
      </c>
      <c r="AE46" s="147">
        <f t="shared" si="8"/>
        <v>220.54994629430453</v>
      </c>
      <c r="AF46">
        <f t="shared" si="9"/>
        <v>2.17</v>
      </c>
      <c r="AG46">
        <v>2</v>
      </c>
      <c r="AH46">
        <f t="shared" si="10"/>
        <v>0</v>
      </c>
    </row>
    <row r="47" spans="1:34" ht="13.5" customHeight="1">
      <c r="A47" s="125">
        <f t="shared" si="11"/>
        <v>45</v>
      </c>
      <c r="B47" s="125">
        <f t="shared" si="12"/>
        <v>1089320</v>
      </c>
      <c r="C47" s="129">
        <f>'ルール＆合計'!$F$3</f>
        <v>0.02</v>
      </c>
      <c r="D47" s="128">
        <f t="shared" si="0"/>
        <v>21786.4</v>
      </c>
      <c r="E47" s="131">
        <v>10000</v>
      </c>
      <c r="F47" s="123" t="s">
        <v>90</v>
      </c>
      <c r="G47" s="113" t="s">
        <v>63</v>
      </c>
      <c r="H47" t="s">
        <v>80</v>
      </c>
      <c r="I47" s="135">
        <v>41681</v>
      </c>
      <c r="J47">
        <v>102.697</v>
      </c>
      <c r="K47" t="s">
        <v>206</v>
      </c>
      <c r="L47">
        <v>102.076</v>
      </c>
      <c r="N47" s="125">
        <f t="shared" si="1"/>
        <v>62.10000000000093</v>
      </c>
      <c r="O47" s="138">
        <f t="shared" si="17"/>
        <v>350.8276972624746</v>
      </c>
      <c r="P47" s="125">
        <f t="shared" si="2"/>
        <v>3.41</v>
      </c>
      <c r="R47" s="123" t="s">
        <v>63</v>
      </c>
      <c r="T47">
        <v>102.076</v>
      </c>
      <c r="U47" t="s">
        <v>207</v>
      </c>
      <c r="V47" s="125" t="str">
        <f t="shared" si="3"/>
        <v>負け</v>
      </c>
      <c r="W47" s="125">
        <f t="shared" si="13"/>
        <v>-0.6210000000000093</v>
      </c>
      <c r="X47" s="126">
        <f t="shared" si="14"/>
        <v>0</v>
      </c>
      <c r="Y47" s="126">
        <f t="shared" si="4"/>
        <v>-62.10000000000093</v>
      </c>
      <c r="Z47" s="125">
        <f t="shared" si="5"/>
        <v>-6210.000000000093</v>
      </c>
      <c r="AA47" s="125">
        <f t="shared" si="6"/>
        <v>0</v>
      </c>
      <c r="AB47" s="144">
        <f t="shared" si="15"/>
        <v>1100439.9999999995</v>
      </c>
      <c r="AC47" s="144">
        <f t="shared" si="16"/>
        <v>1026660.0000000005</v>
      </c>
      <c r="AD47" s="144">
        <f t="shared" si="7"/>
        <v>20533.200000000008</v>
      </c>
      <c r="AE47" s="147">
        <f t="shared" si="8"/>
        <v>330.64734299516425</v>
      </c>
      <c r="AF47">
        <f t="shared" si="9"/>
        <v>3.21</v>
      </c>
      <c r="AG47">
        <v>3</v>
      </c>
      <c r="AH47">
        <f t="shared" si="10"/>
        <v>-18630.000000000276</v>
      </c>
    </row>
    <row r="48" spans="1:34" ht="13.5" customHeight="1">
      <c r="A48" s="125">
        <f t="shared" si="11"/>
        <v>46</v>
      </c>
      <c r="B48" s="125">
        <f t="shared" si="12"/>
        <v>1083110</v>
      </c>
      <c r="C48" s="129">
        <f>'ルール＆合計'!$F$3</f>
        <v>0.02</v>
      </c>
      <c r="D48" s="128">
        <f t="shared" si="0"/>
        <v>21662.2</v>
      </c>
      <c r="E48" s="131">
        <v>10000</v>
      </c>
      <c r="F48" s="123" t="s">
        <v>90</v>
      </c>
      <c r="G48" s="113" t="s">
        <v>63</v>
      </c>
      <c r="H48" t="s">
        <v>80</v>
      </c>
      <c r="I48" s="135">
        <v>41695</v>
      </c>
      <c r="J48">
        <v>102.62</v>
      </c>
      <c r="K48" t="s">
        <v>208</v>
      </c>
      <c r="L48">
        <v>102.004</v>
      </c>
      <c r="N48" s="125">
        <f t="shared" si="1"/>
        <v>61.599999999999966</v>
      </c>
      <c r="O48" s="138">
        <f t="shared" si="17"/>
        <v>351.6590909090911</v>
      </c>
      <c r="P48" s="125">
        <f t="shared" si="2"/>
        <v>3.42</v>
      </c>
      <c r="R48" s="123" t="s">
        <v>63</v>
      </c>
      <c r="T48">
        <v>102.62</v>
      </c>
      <c r="U48" t="s">
        <v>209</v>
      </c>
      <c r="V48" s="125" t="str">
        <f t="shared" si="3"/>
        <v>負け</v>
      </c>
      <c r="W48" s="125">
        <f t="shared" si="13"/>
        <v>0</v>
      </c>
      <c r="X48" s="126">
        <f t="shared" si="14"/>
        <v>0</v>
      </c>
      <c r="Y48" s="126">
        <f t="shared" si="4"/>
        <v>0</v>
      </c>
      <c r="Z48" s="125">
        <f t="shared" si="5"/>
        <v>0</v>
      </c>
      <c r="AA48" s="125">
        <f t="shared" si="6"/>
        <v>0</v>
      </c>
      <c r="AB48" s="144">
        <f t="shared" si="15"/>
        <v>1100439.9999999995</v>
      </c>
      <c r="AC48" s="144">
        <f t="shared" si="16"/>
        <v>1008030.0000000002</v>
      </c>
      <c r="AD48" s="144">
        <f t="shared" si="7"/>
        <v>20160.600000000006</v>
      </c>
      <c r="AE48" s="147">
        <f t="shared" si="8"/>
        <v>327.2824675324678</v>
      </c>
      <c r="AF48">
        <f t="shared" si="9"/>
        <v>3.18</v>
      </c>
      <c r="AG48">
        <v>3</v>
      </c>
      <c r="AH48">
        <f t="shared" si="10"/>
        <v>0</v>
      </c>
    </row>
    <row r="49" spans="1:34" ht="13.5" customHeight="1">
      <c r="A49" s="125">
        <f t="shared" si="11"/>
        <v>47</v>
      </c>
      <c r="B49" s="125">
        <f t="shared" si="12"/>
        <v>1083110</v>
      </c>
      <c r="C49" s="129">
        <f>'ルール＆合計'!$F$3</f>
        <v>0.02</v>
      </c>
      <c r="D49" s="128">
        <f t="shared" si="0"/>
        <v>21662.2</v>
      </c>
      <c r="E49" s="131">
        <v>10000</v>
      </c>
      <c r="F49" s="123" t="s">
        <v>90</v>
      </c>
      <c r="G49" s="113" t="s">
        <v>63</v>
      </c>
      <c r="H49" t="s">
        <v>80</v>
      </c>
      <c r="I49" s="135">
        <v>41702</v>
      </c>
      <c r="J49">
        <v>101.396</v>
      </c>
      <c r="K49" t="s">
        <v>206</v>
      </c>
      <c r="L49">
        <v>102.282</v>
      </c>
      <c r="N49" s="125">
        <f t="shared" si="1"/>
        <v>88.59999999999957</v>
      </c>
      <c r="O49" s="138">
        <f t="shared" si="17"/>
        <v>244.49435665914342</v>
      </c>
      <c r="P49" s="125">
        <f t="shared" si="2"/>
        <v>2.41</v>
      </c>
      <c r="R49" s="123" t="s">
        <v>63</v>
      </c>
      <c r="S49" t="s">
        <v>210</v>
      </c>
      <c r="T49">
        <v>101.396</v>
      </c>
      <c r="U49" t="s">
        <v>211</v>
      </c>
      <c r="V49" s="125" t="str">
        <f t="shared" si="3"/>
        <v>負け</v>
      </c>
      <c r="W49" s="125">
        <f t="shared" si="13"/>
        <v>0</v>
      </c>
      <c r="X49" s="126">
        <f t="shared" si="14"/>
        <v>0</v>
      </c>
      <c r="Y49" s="126">
        <f t="shared" si="4"/>
        <v>0</v>
      </c>
      <c r="Z49" s="125">
        <f t="shared" si="5"/>
        <v>0</v>
      </c>
      <c r="AA49" s="125">
        <f t="shared" si="6"/>
        <v>0</v>
      </c>
      <c r="AB49" s="144">
        <f t="shared" si="15"/>
        <v>1100439.9999999995</v>
      </c>
      <c r="AC49" s="144">
        <f t="shared" si="16"/>
        <v>1008030.0000000002</v>
      </c>
      <c r="AD49" s="144">
        <f t="shared" si="7"/>
        <v>20160.600000000006</v>
      </c>
      <c r="AE49" s="147">
        <f t="shared" si="8"/>
        <v>227.54627539503502</v>
      </c>
      <c r="AF49">
        <f t="shared" si="9"/>
        <v>2.24</v>
      </c>
      <c r="AG49">
        <v>2</v>
      </c>
      <c r="AH49">
        <f t="shared" si="10"/>
        <v>0</v>
      </c>
    </row>
    <row r="50" spans="1:34" ht="13.5" customHeight="1">
      <c r="A50" s="125">
        <f t="shared" si="11"/>
        <v>48</v>
      </c>
      <c r="B50" s="125">
        <f t="shared" si="12"/>
        <v>1083110</v>
      </c>
      <c r="C50" s="129">
        <f>'ルール＆合計'!$F$3</f>
        <v>0.02</v>
      </c>
      <c r="D50" s="128">
        <f t="shared" si="0"/>
        <v>21662.2</v>
      </c>
      <c r="E50" s="131">
        <v>10000</v>
      </c>
      <c r="F50" s="123" t="s">
        <v>90</v>
      </c>
      <c r="G50" s="113" t="s">
        <v>63</v>
      </c>
      <c r="H50" t="s">
        <v>64</v>
      </c>
      <c r="I50" s="135">
        <v>41717</v>
      </c>
      <c r="J50">
        <v>101.297</v>
      </c>
      <c r="K50" t="s">
        <v>201</v>
      </c>
      <c r="L50">
        <v>102.68</v>
      </c>
      <c r="N50" s="125">
        <f t="shared" si="1"/>
        <v>138.30000000000098</v>
      </c>
      <c r="O50" s="138">
        <f t="shared" si="17"/>
        <v>156.63195950831417</v>
      </c>
      <c r="P50" s="125">
        <f t="shared" si="2"/>
        <v>1.54</v>
      </c>
      <c r="R50" s="123" t="s">
        <v>63</v>
      </c>
      <c r="T50">
        <v>101.297</v>
      </c>
      <c r="U50" t="s">
        <v>212</v>
      </c>
      <c r="V50" s="125" t="str">
        <f t="shared" si="3"/>
        <v>勝ち</v>
      </c>
      <c r="W50" s="125">
        <f t="shared" si="13"/>
        <v>0</v>
      </c>
      <c r="X50" s="126">
        <f t="shared" si="14"/>
        <v>0</v>
      </c>
      <c r="Y50" s="126">
        <f t="shared" si="4"/>
        <v>0</v>
      </c>
      <c r="Z50" s="125">
        <f t="shared" si="5"/>
        <v>0</v>
      </c>
      <c r="AA50" s="125">
        <f t="shared" si="6"/>
        <v>0</v>
      </c>
      <c r="AB50" s="144">
        <f t="shared" si="15"/>
        <v>1100439.9999999995</v>
      </c>
      <c r="AC50" s="144">
        <f t="shared" si="16"/>
        <v>1008030.0000000002</v>
      </c>
      <c r="AD50" s="144">
        <f t="shared" si="7"/>
        <v>20160.600000000006</v>
      </c>
      <c r="AE50" s="147">
        <f t="shared" si="8"/>
        <v>145.77440347071484</v>
      </c>
      <c r="AF50">
        <f t="shared" si="9"/>
        <v>1.43</v>
      </c>
      <c r="AG50">
        <v>1</v>
      </c>
      <c r="AH50">
        <f t="shared" si="10"/>
        <v>0</v>
      </c>
    </row>
    <row r="51" spans="1:34" ht="13.5" customHeight="1">
      <c r="A51" s="125">
        <f t="shared" si="11"/>
        <v>49</v>
      </c>
      <c r="B51" s="125">
        <f t="shared" si="12"/>
        <v>1083110</v>
      </c>
      <c r="C51" s="129">
        <f>'ルール＆合計'!$F$3</f>
        <v>0.02</v>
      </c>
      <c r="D51" s="128">
        <f t="shared" si="0"/>
        <v>21662.2</v>
      </c>
      <c r="E51" s="131">
        <v>10000</v>
      </c>
      <c r="F51" s="123" t="s">
        <v>90</v>
      </c>
      <c r="G51" s="113" t="s">
        <v>63</v>
      </c>
      <c r="H51" t="s">
        <v>64</v>
      </c>
      <c r="I51" s="135">
        <v>41719</v>
      </c>
      <c r="J51">
        <v>102.45</v>
      </c>
      <c r="K51" t="s">
        <v>213</v>
      </c>
      <c r="L51">
        <v>102.012</v>
      </c>
      <c r="N51" s="125">
        <f t="shared" si="1"/>
        <v>43.80000000000024</v>
      </c>
      <c r="O51" s="138">
        <f t="shared" si="17"/>
        <v>494.5707762557051</v>
      </c>
      <c r="P51" s="125">
        <f t="shared" si="2"/>
        <v>4.82</v>
      </c>
      <c r="R51" s="123" t="s">
        <v>63</v>
      </c>
      <c r="T51">
        <v>102.45</v>
      </c>
      <c r="U51" t="s">
        <v>214</v>
      </c>
      <c r="V51" s="125" t="str">
        <f t="shared" si="3"/>
        <v>勝ち</v>
      </c>
      <c r="W51" s="125">
        <f t="shared" si="13"/>
        <v>0</v>
      </c>
      <c r="X51" s="126">
        <f t="shared" si="14"/>
        <v>0</v>
      </c>
      <c r="Y51" s="126">
        <f t="shared" si="4"/>
        <v>0</v>
      </c>
      <c r="Z51" s="125">
        <f t="shared" si="5"/>
        <v>0</v>
      </c>
      <c r="AA51" s="125">
        <f t="shared" si="6"/>
        <v>0</v>
      </c>
      <c r="AB51" s="144">
        <f t="shared" si="15"/>
        <v>1100439.9999999995</v>
      </c>
      <c r="AC51" s="144">
        <f t="shared" si="16"/>
        <v>1008030.0000000002</v>
      </c>
      <c r="AD51" s="144">
        <f t="shared" si="7"/>
        <v>20160.600000000006</v>
      </c>
      <c r="AE51" s="147">
        <f t="shared" si="8"/>
        <v>460.28767123287435</v>
      </c>
      <c r="AF51">
        <f t="shared" si="9"/>
        <v>4.49</v>
      </c>
      <c r="AG51">
        <v>4</v>
      </c>
      <c r="AH51">
        <f t="shared" si="10"/>
        <v>0</v>
      </c>
    </row>
    <row r="52" spans="1:34" ht="13.5" customHeight="1">
      <c r="A52" s="125">
        <f t="shared" si="11"/>
        <v>50</v>
      </c>
      <c r="B52" s="125">
        <f t="shared" si="12"/>
        <v>1083110</v>
      </c>
      <c r="C52" s="129">
        <f>'ルール＆合計'!$F$3</f>
        <v>0.02</v>
      </c>
      <c r="D52" s="128">
        <f t="shared" si="0"/>
        <v>21662.2</v>
      </c>
      <c r="E52" s="131">
        <v>10000</v>
      </c>
      <c r="F52" s="123" t="s">
        <v>90</v>
      </c>
      <c r="G52" s="113" t="s">
        <v>63</v>
      </c>
      <c r="H52" t="s">
        <v>64</v>
      </c>
      <c r="I52" s="135">
        <v>41739</v>
      </c>
      <c r="J52">
        <v>101.321</v>
      </c>
      <c r="K52" t="s">
        <v>203</v>
      </c>
      <c r="L52">
        <v>102.134</v>
      </c>
      <c r="N52" s="125">
        <f t="shared" si="1"/>
        <v>81.30000000000024</v>
      </c>
      <c r="O52" s="138">
        <f t="shared" si="17"/>
        <v>266.447724477244</v>
      </c>
      <c r="P52" s="125">
        <f t="shared" si="2"/>
        <v>2.62</v>
      </c>
      <c r="R52" s="123" t="s">
        <v>63</v>
      </c>
      <c r="T52">
        <v>101.321</v>
      </c>
      <c r="U52" t="s">
        <v>215</v>
      </c>
      <c r="V52" s="125" t="str">
        <f t="shared" si="3"/>
        <v>勝ち</v>
      </c>
      <c r="W52" s="125">
        <f t="shared" si="13"/>
        <v>0</v>
      </c>
      <c r="X52" s="126">
        <f t="shared" si="14"/>
        <v>0</v>
      </c>
      <c r="Y52" s="126">
        <f t="shared" si="4"/>
        <v>0</v>
      </c>
      <c r="Z52" s="125">
        <f t="shared" si="5"/>
        <v>0</v>
      </c>
      <c r="AA52" s="125">
        <f t="shared" si="6"/>
        <v>0</v>
      </c>
      <c r="AB52" s="144">
        <f t="shared" si="15"/>
        <v>1100439.9999999995</v>
      </c>
      <c r="AC52" s="144">
        <f t="shared" si="16"/>
        <v>1008030.0000000002</v>
      </c>
      <c r="AD52" s="144">
        <f t="shared" si="7"/>
        <v>20160.600000000006</v>
      </c>
      <c r="AE52" s="147">
        <f t="shared" si="8"/>
        <v>247.97785977859712</v>
      </c>
      <c r="AF52">
        <f t="shared" si="9"/>
        <v>2.44</v>
      </c>
      <c r="AG52">
        <v>2</v>
      </c>
      <c r="AH52">
        <f t="shared" si="10"/>
        <v>0</v>
      </c>
    </row>
    <row r="53" spans="1:34" ht="13.5" customHeight="1">
      <c r="A53" s="125">
        <f t="shared" si="11"/>
        <v>51</v>
      </c>
      <c r="B53" s="125">
        <f t="shared" si="12"/>
        <v>1083110</v>
      </c>
      <c r="C53" s="129">
        <f>'ルール＆合計'!$F$3</f>
        <v>0.02</v>
      </c>
      <c r="D53" s="128">
        <f t="shared" si="0"/>
        <v>21662.2</v>
      </c>
      <c r="E53" s="131">
        <v>10000</v>
      </c>
      <c r="F53" s="123" t="s">
        <v>90</v>
      </c>
      <c r="G53" s="113" t="s">
        <v>63</v>
      </c>
      <c r="H53" t="s">
        <v>80</v>
      </c>
      <c r="I53" s="135">
        <v>41757</v>
      </c>
      <c r="J53">
        <v>102.624</v>
      </c>
      <c r="K53" t="s">
        <v>216</v>
      </c>
      <c r="L53">
        <v>102.042</v>
      </c>
      <c r="N53" s="125">
        <f t="shared" si="1"/>
        <v>58.19999999999936</v>
      </c>
      <c r="O53" s="138">
        <f t="shared" si="17"/>
        <v>372.20274914089754</v>
      </c>
      <c r="P53" s="125">
        <f t="shared" si="2"/>
        <v>3.62</v>
      </c>
      <c r="Q53">
        <v>3</v>
      </c>
      <c r="R53" s="123" t="s">
        <v>63</v>
      </c>
      <c r="T53">
        <v>102.042</v>
      </c>
      <c r="U53" t="s">
        <v>217</v>
      </c>
      <c r="V53" s="125" t="str">
        <f t="shared" si="3"/>
        <v>負け</v>
      </c>
      <c r="W53" s="125">
        <f t="shared" si="13"/>
        <v>-0.5819999999999936</v>
      </c>
      <c r="X53" s="126">
        <f t="shared" si="14"/>
        <v>0</v>
      </c>
      <c r="Y53" s="126">
        <f t="shared" si="4"/>
        <v>-58.19999999999936</v>
      </c>
      <c r="Z53" s="125">
        <f t="shared" si="5"/>
        <v>-5819.999999999936</v>
      </c>
      <c r="AA53" s="125">
        <f t="shared" si="6"/>
        <v>-17459.99999999981</v>
      </c>
      <c r="AB53" s="144">
        <f t="shared" si="15"/>
        <v>1100439.9999999995</v>
      </c>
      <c r="AC53" s="144">
        <f t="shared" si="16"/>
        <v>1008030.0000000002</v>
      </c>
      <c r="AD53" s="144">
        <f t="shared" si="7"/>
        <v>20160.600000000006</v>
      </c>
      <c r="AE53" s="147">
        <f t="shared" si="8"/>
        <v>346.402061855674</v>
      </c>
      <c r="AF53">
        <f t="shared" si="9"/>
        <v>3.37</v>
      </c>
      <c r="AG53">
        <v>3</v>
      </c>
      <c r="AH53">
        <f t="shared" si="10"/>
        <v>-17459.99999999981</v>
      </c>
    </row>
    <row r="54" spans="1:34" ht="13.5" customHeight="1">
      <c r="A54" s="125">
        <f t="shared" si="11"/>
        <v>52</v>
      </c>
      <c r="B54" s="125">
        <f t="shared" si="12"/>
        <v>1077290</v>
      </c>
      <c r="C54" s="129">
        <f>'ルール＆合計'!$F$3</f>
        <v>0.02</v>
      </c>
      <c r="D54" s="128">
        <f t="shared" si="0"/>
        <v>21545.8</v>
      </c>
      <c r="E54" s="131">
        <v>10000</v>
      </c>
      <c r="F54" s="123" t="s">
        <v>90</v>
      </c>
      <c r="G54" s="113" t="s">
        <v>63</v>
      </c>
      <c r="H54" t="s">
        <v>64</v>
      </c>
      <c r="I54" s="135">
        <v>41759</v>
      </c>
      <c r="J54">
        <v>102.233</v>
      </c>
      <c r="K54" t="s">
        <v>203</v>
      </c>
      <c r="L54">
        <v>102.651</v>
      </c>
      <c r="N54" s="125">
        <f t="shared" si="1"/>
        <v>41.799999999999216</v>
      </c>
      <c r="O54" s="138">
        <f t="shared" si="17"/>
        <v>515.4497607655599</v>
      </c>
      <c r="P54" s="125">
        <f t="shared" si="2"/>
        <v>5.04</v>
      </c>
      <c r="R54" s="123" t="s">
        <v>63</v>
      </c>
      <c r="T54">
        <v>102.233</v>
      </c>
      <c r="U54" t="s">
        <v>214</v>
      </c>
      <c r="V54" s="125" t="str">
        <f t="shared" si="3"/>
        <v>勝ち</v>
      </c>
      <c r="W54" s="125">
        <f t="shared" si="13"/>
        <v>0</v>
      </c>
      <c r="X54" s="126">
        <f t="shared" si="14"/>
        <v>0</v>
      </c>
      <c r="Y54" s="126">
        <f t="shared" si="4"/>
        <v>0</v>
      </c>
      <c r="Z54" s="125">
        <f t="shared" si="5"/>
        <v>0</v>
      </c>
      <c r="AA54" s="125">
        <f t="shared" si="6"/>
        <v>0</v>
      </c>
      <c r="AB54" s="144">
        <f t="shared" si="15"/>
        <v>1082979.9999999998</v>
      </c>
      <c r="AC54" s="144">
        <f t="shared" si="16"/>
        <v>990570.0000000005</v>
      </c>
      <c r="AD54" s="144">
        <f t="shared" si="7"/>
        <v>19811.40000000001</v>
      </c>
      <c r="AE54" s="147">
        <f t="shared" si="8"/>
        <v>473.9569377990522</v>
      </c>
      <c r="AF54">
        <f t="shared" si="9"/>
        <v>4.63</v>
      </c>
      <c r="AG54">
        <v>4</v>
      </c>
      <c r="AH54">
        <f t="shared" si="10"/>
        <v>0</v>
      </c>
    </row>
    <row r="55" spans="1:34" ht="13.5" customHeight="1">
      <c r="A55" s="125">
        <f t="shared" si="11"/>
        <v>53</v>
      </c>
      <c r="B55" s="125">
        <f t="shared" si="12"/>
        <v>1077290</v>
      </c>
      <c r="C55" s="129">
        <f>'ルール＆合計'!$F$3</f>
        <v>0.02</v>
      </c>
      <c r="D55" s="128">
        <f t="shared" si="0"/>
        <v>21545.8</v>
      </c>
      <c r="E55" s="131">
        <v>10000</v>
      </c>
      <c r="F55" s="123" t="s">
        <v>90</v>
      </c>
      <c r="G55" s="113" t="s">
        <v>63</v>
      </c>
      <c r="H55" t="s">
        <v>64</v>
      </c>
      <c r="I55" s="135">
        <v>41773</v>
      </c>
      <c r="J55">
        <v>101.717</v>
      </c>
      <c r="K55" t="s">
        <v>203</v>
      </c>
      <c r="L55">
        <v>102.278</v>
      </c>
      <c r="N55" s="125">
        <f t="shared" si="1"/>
        <v>56.100000000000705</v>
      </c>
      <c r="O55" s="138">
        <f t="shared" si="17"/>
        <v>384.06060606060123</v>
      </c>
      <c r="P55" s="125">
        <f t="shared" si="2"/>
        <v>3.77</v>
      </c>
      <c r="Q55">
        <v>3</v>
      </c>
      <c r="R55" s="123" t="s">
        <v>63</v>
      </c>
      <c r="S55" s="135">
        <v>41792</v>
      </c>
      <c r="T55">
        <v>102.139</v>
      </c>
      <c r="U55" t="s">
        <v>218</v>
      </c>
      <c r="V55" s="125" t="str">
        <f t="shared" si="3"/>
        <v>負け</v>
      </c>
      <c r="W55" s="125">
        <f t="shared" si="13"/>
        <v>0.42199999999999704</v>
      </c>
      <c r="X55" s="126">
        <f t="shared" si="14"/>
        <v>0</v>
      </c>
      <c r="Y55" s="126">
        <f t="shared" si="4"/>
        <v>42.199999999999704</v>
      </c>
      <c r="Z55" s="125">
        <f t="shared" si="5"/>
        <v>-4219.999999999971</v>
      </c>
      <c r="AA55" s="125">
        <f t="shared" si="6"/>
        <v>-12659.999999999913</v>
      </c>
      <c r="AB55" s="144">
        <f t="shared" si="15"/>
        <v>1082979.9999999998</v>
      </c>
      <c r="AC55" s="144">
        <f t="shared" si="16"/>
        <v>990570.0000000005</v>
      </c>
      <c r="AD55" s="144">
        <f t="shared" si="7"/>
        <v>19811.40000000001</v>
      </c>
      <c r="AE55" s="147">
        <f t="shared" si="8"/>
        <v>353.1443850267337</v>
      </c>
      <c r="AF55">
        <f t="shared" si="9"/>
        <v>3.47</v>
      </c>
      <c r="AG55">
        <v>3</v>
      </c>
      <c r="AH55">
        <f t="shared" si="10"/>
        <v>-12659.999999999913</v>
      </c>
    </row>
    <row r="56" spans="1:34" ht="13.5" customHeight="1">
      <c r="A56" s="125">
        <f t="shared" si="11"/>
        <v>54</v>
      </c>
      <c r="B56" s="125">
        <f t="shared" si="12"/>
        <v>1073070</v>
      </c>
      <c r="C56" s="129">
        <f>'ルール＆合計'!$F$3</f>
        <v>0.02</v>
      </c>
      <c r="D56" s="128">
        <f t="shared" si="0"/>
        <v>21461.4</v>
      </c>
      <c r="E56" s="131">
        <v>10000</v>
      </c>
      <c r="F56" s="123" t="s">
        <v>90</v>
      </c>
      <c r="G56" s="113" t="s">
        <v>63</v>
      </c>
      <c r="H56" t="s">
        <v>80</v>
      </c>
      <c r="I56" s="135">
        <v>41787</v>
      </c>
      <c r="J56">
        <v>101.635</v>
      </c>
      <c r="K56" t="s">
        <v>219</v>
      </c>
      <c r="L56">
        <v>102.026</v>
      </c>
      <c r="N56" s="125">
        <f t="shared" si="1"/>
        <v>39.09999999999911</v>
      </c>
      <c r="O56" s="138">
        <f t="shared" si="17"/>
        <v>548.884910485946</v>
      </c>
      <c r="P56" s="125">
        <f t="shared" si="2"/>
        <v>5.4</v>
      </c>
      <c r="R56" s="123" t="s">
        <v>63</v>
      </c>
      <c r="T56">
        <v>101.635</v>
      </c>
      <c r="U56" t="s">
        <v>220</v>
      </c>
      <c r="V56" s="125" t="str">
        <f t="shared" si="3"/>
        <v>負け</v>
      </c>
      <c r="W56" s="125">
        <f t="shared" si="13"/>
        <v>0</v>
      </c>
      <c r="X56" s="126">
        <f t="shared" si="14"/>
        <v>0</v>
      </c>
      <c r="Y56" s="126">
        <f t="shared" si="4"/>
        <v>0</v>
      </c>
      <c r="Z56" s="125">
        <f t="shared" si="5"/>
        <v>0</v>
      </c>
      <c r="AA56" s="125">
        <f t="shared" si="6"/>
        <v>0</v>
      </c>
      <c r="AB56" s="144">
        <f t="shared" si="15"/>
        <v>1070319.9999999998</v>
      </c>
      <c r="AC56" s="144">
        <f t="shared" si="16"/>
        <v>977910.0000000006</v>
      </c>
      <c r="AD56" s="144">
        <f t="shared" si="7"/>
        <v>19558.20000000001</v>
      </c>
      <c r="AE56" s="147">
        <f t="shared" si="8"/>
        <v>500.20971867008836</v>
      </c>
      <c r="AF56">
        <f t="shared" si="9"/>
        <v>4.92</v>
      </c>
      <c r="AG56">
        <v>4</v>
      </c>
      <c r="AH56">
        <f t="shared" si="10"/>
        <v>0</v>
      </c>
    </row>
    <row r="57" spans="1:34" ht="13.5" customHeight="1">
      <c r="A57" s="125">
        <f t="shared" si="11"/>
        <v>55</v>
      </c>
      <c r="B57" s="125">
        <f t="shared" si="12"/>
        <v>1073070</v>
      </c>
      <c r="C57" s="129">
        <f>'ルール＆合計'!$F$3</f>
        <v>0.02</v>
      </c>
      <c r="D57" s="128">
        <f t="shared" si="0"/>
        <v>21461.4</v>
      </c>
      <c r="E57" s="131">
        <v>10000</v>
      </c>
      <c r="F57" s="123" t="s">
        <v>90</v>
      </c>
      <c r="G57" s="113" t="s">
        <v>63</v>
      </c>
      <c r="H57" t="s">
        <v>80</v>
      </c>
      <c r="I57" s="135">
        <v>41795</v>
      </c>
      <c r="J57">
        <v>102.335</v>
      </c>
      <c r="K57" t="s">
        <v>221</v>
      </c>
      <c r="L57">
        <v>102.749</v>
      </c>
      <c r="N57" s="125">
        <f t="shared" si="1"/>
        <v>41.40000000000015</v>
      </c>
      <c r="O57" s="138">
        <f t="shared" si="17"/>
        <v>518.3913043478243</v>
      </c>
      <c r="P57" s="125">
        <f t="shared" si="2"/>
        <v>5.06</v>
      </c>
      <c r="R57" s="123" t="s">
        <v>63</v>
      </c>
      <c r="T57">
        <v>102.335</v>
      </c>
      <c r="U57" t="s">
        <v>223</v>
      </c>
      <c r="V57" s="125" t="str">
        <f t="shared" si="3"/>
        <v>負け</v>
      </c>
      <c r="W57" s="125">
        <f t="shared" si="13"/>
        <v>0</v>
      </c>
      <c r="X57" s="126">
        <f t="shared" si="14"/>
        <v>0</v>
      </c>
      <c r="Y57" s="126">
        <f t="shared" si="4"/>
        <v>0</v>
      </c>
      <c r="Z57" s="125">
        <f t="shared" si="5"/>
        <v>0</v>
      </c>
      <c r="AA57" s="125">
        <f t="shared" si="6"/>
        <v>0</v>
      </c>
      <c r="AB57" s="144">
        <f t="shared" si="15"/>
        <v>1070319.9999999998</v>
      </c>
      <c r="AC57" s="144">
        <f t="shared" si="16"/>
        <v>977910.0000000006</v>
      </c>
      <c r="AD57" s="144">
        <f t="shared" si="7"/>
        <v>19558.20000000001</v>
      </c>
      <c r="AE57" s="147">
        <f t="shared" si="8"/>
        <v>472.4202898550711</v>
      </c>
      <c r="AF57">
        <f t="shared" si="9"/>
        <v>4.61</v>
      </c>
      <c r="AG57">
        <v>4</v>
      </c>
      <c r="AH57">
        <f t="shared" si="10"/>
        <v>0</v>
      </c>
    </row>
    <row r="58" spans="1:34" ht="13.5" customHeight="1">
      <c r="A58" s="125">
        <f t="shared" si="11"/>
        <v>56</v>
      </c>
      <c r="B58" s="125">
        <f t="shared" si="12"/>
        <v>1073070</v>
      </c>
      <c r="C58" s="129">
        <f>'ルール＆合計'!$F$3</f>
        <v>0.02</v>
      </c>
      <c r="D58" s="128">
        <f t="shared" si="0"/>
        <v>21461.4</v>
      </c>
      <c r="E58" s="131">
        <v>10000</v>
      </c>
      <c r="F58" s="123" t="s">
        <v>90</v>
      </c>
      <c r="G58" s="113" t="s">
        <v>63</v>
      </c>
      <c r="H58" t="s">
        <v>64</v>
      </c>
      <c r="I58" s="135">
        <v>41807</v>
      </c>
      <c r="J58">
        <v>102.239</v>
      </c>
      <c r="K58" t="s">
        <v>201</v>
      </c>
      <c r="L58">
        <v>101.806</v>
      </c>
      <c r="N58" s="125">
        <f t="shared" si="1"/>
        <v>43.30000000000069</v>
      </c>
      <c r="O58" s="138">
        <f t="shared" si="17"/>
        <v>495.6443418013778</v>
      </c>
      <c r="P58" s="125">
        <f t="shared" si="2"/>
        <v>4.84</v>
      </c>
      <c r="R58" s="123" t="s">
        <v>63</v>
      </c>
      <c r="T58">
        <v>102.239</v>
      </c>
      <c r="U58" t="s">
        <v>224</v>
      </c>
      <c r="V58" s="125" t="str">
        <f t="shared" si="3"/>
        <v>勝ち</v>
      </c>
      <c r="W58" s="125">
        <f t="shared" si="13"/>
        <v>0</v>
      </c>
      <c r="X58" s="126">
        <f t="shared" si="14"/>
        <v>0</v>
      </c>
      <c r="Y58" s="126">
        <f t="shared" si="4"/>
        <v>0</v>
      </c>
      <c r="Z58" s="125">
        <f t="shared" si="5"/>
        <v>0</v>
      </c>
      <c r="AA58" s="125">
        <f t="shared" si="6"/>
        <v>0</v>
      </c>
      <c r="AB58" s="144">
        <f t="shared" si="15"/>
        <v>1070319.9999999998</v>
      </c>
      <c r="AC58" s="144">
        <f t="shared" si="16"/>
        <v>977910.0000000006</v>
      </c>
      <c r="AD58" s="144">
        <f t="shared" si="7"/>
        <v>19558.20000000001</v>
      </c>
      <c r="AE58" s="147">
        <f t="shared" si="8"/>
        <v>451.69053117782215</v>
      </c>
      <c r="AF58">
        <f t="shared" si="9"/>
        <v>4.41</v>
      </c>
      <c r="AG58">
        <v>4</v>
      </c>
      <c r="AH58">
        <f t="shared" si="10"/>
        <v>0</v>
      </c>
    </row>
    <row r="59" spans="1:34" ht="13.5" customHeight="1">
      <c r="A59" s="125">
        <f t="shared" si="11"/>
        <v>57</v>
      </c>
      <c r="B59" s="125">
        <f t="shared" si="12"/>
        <v>1073070</v>
      </c>
      <c r="C59" s="129">
        <f>'ルール＆合計'!$F$3</f>
        <v>0.02</v>
      </c>
      <c r="D59" s="128">
        <f t="shared" si="0"/>
        <v>21461.4</v>
      </c>
      <c r="E59" s="131">
        <v>10000</v>
      </c>
      <c r="F59" s="123" t="s">
        <v>90</v>
      </c>
      <c r="G59" s="113" t="s">
        <v>63</v>
      </c>
      <c r="H59" t="s">
        <v>64</v>
      </c>
      <c r="I59" s="135">
        <v>41813</v>
      </c>
      <c r="J59">
        <v>101.815</v>
      </c>
      <c r="K59" t="s">
        <v>203</v>
      </c>
      <c r="L59">
        <v>102.113</v>
      </c>
      <c r="N59" s="125">
        <f t="shared" si="1"/>
        <v>29.800000000000182</v>
      </c>
      <c r="O59" s="138">
        <f t="shared" si="17"/>
        <v>720.1812080536869</v>
      </c>
      <c r="P59" s="125">
        <f t="shared" si="2"/>
        <v>7.07</v>
      </c>
      <c r="R59" s="123" t="s">
        <v>63</v>
      </c>
      <c r="T59">
        <v>101.815</v>
      </c>
      <c r="U59" t="s">
        <v>224</v>
      </c>
      <c r="V59" s="125" t="str">
        <f t="shared" si="3"/>
        <v>勝ち</v>
      </c>
      <c r="W59" s="125">
        <f t="shared" si="13"/>
        <v>0</v>
      </c>
      <c r="X59" s="126">
        <f t="shared" si="14"/>
        <v>0</v>
      </c>
      <c r="Y59" s="126">
        <f t="shared" si="4"/>
        <v>0</v>
      </c>
      <c r="Z59" s="125">
        <f t="shared" si="5"/>
        <v>0</v>
      </c>
      <c r="AA59" s="125">
        <f t="shared" si="6"/>
        <v>0</v>
      </c>
      <c r="AB59" s="144">
        <f t="shared" si="15"/>
        <v>1070319.9999999998</v>
      </c>
      <c r="AC59" s="144">
        <f t="shared" si="16"/>
        <v>977910.0000000006</v>
      </c>
      <c r="AD59" s="144">
        <f t="shared" si="7"/>
        <v>19558.20000000001</v>
      </c>
      <c r="AE59" s="147">
        <f t="shared" si="8"/>
        <v>656.3154362416071</v>
      </c>
      <c r="AF59">
        <f t="shared" si="9"/>
        <v>6.44</v>
      </c>
      <c r="AG59">
        <v>6</v>
      </c>
      <c r="AH59">
        <f t="shared" si="10"/>
        <v>0</v>
      </c>
    </row>
    <row r="60" spans="1:34" ht="13.5" customHeight="1">
      <c r="A60" s="125">
        <f t="shared" si="11"/>
        <v>58</v>
      </c>
      <c r="B60" s="125">
        <f t="shared" si="12"/>
        <v>1073070</v>
      </c>
      <c r="C60" s="129">
        <f>'ルール＆合計'!$F$3</f>
        <v>0.02</v>
      </c>
      <c r="D60" s="128">
        <f t="shared" si="0"/>
        <v>21461.4</v>
      </c>
      <c r="E60" s="131">
        <v>10000</v>
      </c>
      <c r="F60" s="123" t="s">
        <v>90</v>
      </c>
      <c r="G60" s="113" t="s">
        <v>63</v>
      </c>
      <c r="H60" t="s">
        <v>64</v>
      </c>
      <c r="I60" s="135">
        <v>41821</v>
      </c>
      <c r="J60">
        <v>101.592</v>
      </c>
      <c r="K60" t="s">
        <v>201</v>
      </c>
      <c r="L60">
        <v>101.285</v>
      </c>
      <c r="N60" s="125">
        <f t="shared" si="1"/>
        <v>30.700000000000216</v>
      </c>
      <c r="O60" s="138">
        <f t="shared" si="17"/>
        <v>699.06840390879</v>
      </c>
      <c r="P60" s="125">
        <f t="shared" si="2"/>
        <v>6.88</v>
      </c>
      <c r="R60" s="123" t="s">
        <v>63</v>
      </c>
      <c r="T60">
        <v>101.592</v>
      </c>
      <c r="U60" t="s">
        <v>225</v>
      </c>
      <c r="V60" s="125" t="str">
        <f t="shared" si="3"/>
        <v>勝ち</v>
      </c>
      <c r="W60" s="125">
        <f t="shared" si="13"/>
        <v>0</v>
      </c>
      <c r="X60" s="126">
        <f t="shared" si="14"/>
        <v>0</v>
      </c>
      <c r="Y60" s="126">
        <f t="shared" si="4"/>
        <v>0</v>
      </c>
      <c r="Z60" s="125">
        <f t="shared" si="5"/>
        <v>0</v>
      </c>
      <c r="AA60" s="125">
        <f t="shared" si="6"/>
        <v>0</v>
      </c>
      <c r="AB60" s="144">
        <f t="shared" si="15"/>
        <v>1070319.9999999998</v>
      </c>
      <c r="AC60" s="144">
        <f t="shared" si="16"/>
        <v>977910.0000000006</v>
      </c>
      <c r="AD60" s="144">
        <f t="shared" si="7"/>
        <v>19558.20000000001</v>
      </c>
      <c r="AE60" s="147">
        <f t="shared" si="8"/>
        <v>637.0749185667711</v>
      </c>
      <c r="AF60">
        <f t="shared" si="9"/>
        <v>6.27</v>
      </c>
      <c r="AG60">
        <v>2</v>
      </c>
      <c r="AH60">
        <f t="shared" si="10"/>
        <v>0</v>
      </c>
    </row>
    <row r="61" spans="1:34" ht="13.5" customHeight="1">
      <c r="A61" s="125">
        <f t="shared" si="11"/>
        <v>59</v>
      </c>
      <c r="B61" s="125">
        <f t="shared" si="12"/>
        <v>1073070</v>
      </c>
      <c r="C61" s="129">
        <f>'ルール＆合計'!$F$3</f>
        <v>0.02</v>
      </c>
      <c r="D61" s="128">
        <f t="shared" si="0"/>
        <v>21461.4</v>
      </c>
      <c r="E61" s="131">
        <v>10000</v>
      </c>
      <c r="F61" s="123" t="s">
        <v>90</v>
      </c>
      <c r="G61" s="113" t="s">
        <v>63</v>
      </c>
      <c r="H61" t="s">
        <v>64</v>
      </c>
      <c r="I61" s="135">
        <v>41830</v>
      </c>
      <c r="J61">
        <v>101.062</v>
      </c>
      <c r="K61" t="s">
        <v>203</v>
      </c>
      <c r="L61">
        <v>101.659</v>
      </c>
      <c r="N61" s="125">
        <f t="shared" si="1"/>
        <v>59.70000000000084</v>
      </c>
      <c r="O61" s="138">
        <f t="shared" si="17"/>
        <v>359.4874371859246</v>
      </c>
      <c r="P61" s="125">
        <f t="shared" si="2"/>
        <v>3.55</v>
      </c>
      <c r="R61" s="123" t="s">
        <v>63</v>
      </c>
      <c r="T61">
        <v>101.062</v>
      </c>
      <c r="U61" t="s">
        <v>214</v>
      </c>
      <c r="V61" s="125" t="str">
        <f t="shared" si="3"/>
        <v>勝ち</v>
      </c>
      <c r="W61" s="125">
        <f t="shared" si="13"/>
        <v>0</v>
      </c>
      <c r="X61" s="126">
        <f t="shared" si="14"/>
        <v>0</v>
      </c>
      <c r="Y61" s="126">
        <f t="shared" si="4"/>
        <v>0</v>
      </c>
      <c r="Z61" s="125">
        <f t="shared" si="5"/>
        <v>0</v>
      </c>
      <c r="AA61" s="125">
        <f t="shared" si="6"/>
        <v>0</v>
      </c>
      <c r="AB61" s="144">
        <f t="shared" si="15"/>
        <v>1070319.9999999998</v>
      </c>
      <c r="AC61" s="144">
        <f t="shared" si="16"/>
        <v>977910.0000000006</v>
      </c>
      <c r="AD61" s="144">
        <f t="shared" si="7"/>
        <v>19558.20000000001</v>
      </c>
      <c r="AE61" s="147">
        <f t="shared" si="8"/>
        <v>327.6080402010006</v>
      </c>
      <c r="AF61">
        <f t="shared" si="9"/>
        <v>3.24</v>
      </c>
      <c r="AG61">
        <v>3</v>
      </c>
      <c r="AH61">
        <f t="shared" si="10"/>
        <v>0</v>
      </c>
    </row>
    <row r="62" spans="1:34" ht="13.5" customHeight="1">
      <c r="A62" s="125">
        <f t="shared" si="11"/>
        <v>60</v>
      </c>
      <c r="B62" s="125">
        <f t="shared" si="12"/>
        <v>1073070</v>
      </c>
      <c r="C62" s="129">
        <f>'ルール＆合計'!$F$3</f>
        <v>0.02</v>
      </c>
      <c r="D62" s="128">
        <f t="shared" si="0"/>
        <v>21461.4</v>
      </c>
      <c r="E62" s="131">
        <v>10000</v>
      </c>
      <c r="F62" s="123" t="s">
        <v>90</v>
      </c>
      <c r="G62" s="113" t="s">
        <v>63</v>
      </c>
      <c r="H62" t="s">
        <v>64</v>
      </c>
      <c r="I62" s="135">
        <v>41837</v>
      </c>
      <c r="J62">
        <v>101.135</v>
      </c>
      <c r="K62" t="s">
        <v>226</v>
      </c>
      <c r="L62">
        <v>101.691</v>
      </c>
      <c r="N62" s="125">
        <f t="shared" si="1"/>
        <v>55.59999999999974</v>
      </c>
      <c r="O62" s="138">
        <f t="shared" si="17"/>
        <v>385.99640287769967</v>
      </c>
      <c r="P62" s="125">
        <f t="shared" si="2"/>
        <v>3.81</v>
      </c>
      <c r="Q62">
        <v>3</v>
      </c>
      <c r="R62" s="123" t="s">
        <v>63</v>
      </c>
      <c r="S62" s="135">
        <v>41844</v>
      </c>
      <c r="T62">
        <v>101.691</v>
      </c>
      <c r="U62" t="s">
        <v>97</v>
      </c>
      <c r="V62" s="125" t="str">
        <f t="shared" si="3"/>
        <v>負け</v>
      </c>
      <c r="W62" s="125">
        <f t="shared" si="13"/>
        <v>0.5559999999999974</v>
      </c>
      <c r="X62" s="126">
        <f t="shared" si="14"/>
        <v>0</v>
      </c>
      <c r="Y62" s="126">
        <f t="shared" si="4"/>
        <v>55.59999999999974</v>
      </c>
      <c r="Z62" s="125">
        <f t="shared" si="5"/>
        <v>-5559.999999999974</v>
      </c>
      <c r="AA62" s="125">
        <f t="shared" si="6"/>
        <v>-16679.99999999992</v>
      </c>
      <c r="AB62" s="144">
        <f t="shared" si="15"/>
        <v>1070319.9999999998</v>
      </c>
      <c r="AC62" s="144">
        <f t="shared" si="16"/>
        <v>977910.0000000006</v>
      </c>
      <c r="AD62" s="144">
        <f t="shared" si="7"/>
        <v>19558.20000000001</v>
      </c>
      <c r="AE62" s="147">
        <f t="shared" si="8"/>
        <v>351.76618705036157</v>
      </c>
      <c r="AF62">
        <f t="shared" si="9"/>
        <v>3.47</v>
      </c>
      <c r="AG62">
        <v>3</v>
      </c>
      <c r="AH62">
        <f t="shared" si="10"/>
        <v>-16679.99999999992</v>
      </c>
    </row>
    <row r="63" spans="1:34" ht="13.5" customHeight="1">
      <c r="A63" s="125">
        <f t="shared" si="11"/>
        <v>61</v>
      </c>
      <c r="B63" s="125">
        <f t="shared" si="12"/>
        <v>1067510</v>
      </c>
      <c r="C63" s="129">
        <f>'ルール＆合計'!$F$3</f>
        <v>0.02</v>
      </c>
      <c r="D63" s="128">
        <f t="shared" si="0"/>
        <v>21350.2</v>
      </c>
      <c r="E63" s="131">
        <v>10000</v>
      </c>
      <c r="F63" s="123" t="s">
        <v>90</v>
      </c>
      <c r="G63" s="113" t="s">
        <v>63</v>
      </c>
      <c r="H63" t="s">
        <v>80</v>
      </c>
      <c r="I63" s="135">
        <v>41844</v>
      </c>
      <c r="J63">
        <v>101.857</v>
      </c>
      <c r="K63" t="s">
        <v>227</v>
      </c>
      <c r="L63">
        <v>101.415</v>
      </c>
      <c r="N63" s="125">
        <f t="shared" si="1"/>
        <v>44.19999999999931</v>
      </c>
      <c r="O63" s="138">
        <f t="shared" si="17"/>
        <v>483.0361990950302</v>
      </c>
      <c r="P63" s="125">
        <f t="shared" si="2"/>
        <v>4.74</v>
      </c>
      <c r="Q63">
        <v>4</v>
      </c>
      <c r="R63" s="123" t="s">
        <v>63</v>
      </c>
      <c r="S63" s="135">
        <v>41914</v>
      </c>
      <c r="T63">
        <v>108.474</v>
      </c>
      <c r="U63" t="s">
        <v>179</v>
      </c>
      <c r="V63" s="125" t="str">
        <f t="shared" si="3"/>
        <v>勝ち</v>
      </c>
      <c r="W63" s="125">
        <f t="shared" si="13"/>
        <v>6.617000000000004</v>
      </c>
      <c r="X63" s="126">
        <f t="shared" si="14"/>
        <v>661.7000000000004</v>
      </c>
      <c r="Y63" s="126">
        <f t="shared" si="4"/>
        <v>0</v>
      </c>
      <c r="Z63" s="125">
        <f t="shared" si="5"/>
        <v>66170.00000000004</v>
      </c>
      <c r="AA63" s="125">
        <f t="shared" si="6"/>
        <v>264680.0000000002</v>
      </c>
      <c r="AB63" s="144">
        <f t="shared" si="15"/>
        <v>1053639.9999999998</v>
      </c>
      <c r="AC63" s="144">
        <f t="shared" si="16"/>
        <v>961230.0000000007</v>
      </c>
      <c r="AD63" s="144">
        <f t="shared" si="7"/>
        <v>19224.600000000013</v>
      </c>
      <c r="AE63" s="147">
        <f t="shared" si="8"/>
        <v>434.9457013574732</v>
      </c>
      <c r="AF63">
        <f t="shared" si="9"/>
        <v>4.27</v>
      </c>
      <c r="AG63">
        <v>4</v>
      </c>
      <c r="AH63">
        <f t="shared" si="10"/>
        <v>264680.0000000002</v>
      </c>
    </row>
    <row r="64" spans="1:34" ht="13.5" customHeight="1">
      <c r="A64" s="125">
        <f t="shared" si="11"/>
        <v>62</v>
      </c>
      <c r="B64" s="125">
        <f t="shared" si="12"/>
        <v>1133680</v>
      </c>
      <c r="C64" s="129">
        <f>'ルール＆合計'!$F$3</f>
        <v>0.02</v>
      </c>
      <c r="D64" s="128">
        <f t="shared" si="0"/>
        <v>22673.600000000002</v>
      </c>
      <c r="E64" s="131">
        <v>10000</v>
      </c>
      <c r="F64" s="123" t="s">
        <v>90</v>
      </c>
      <c r="G64" s="113" t="s">
        <v>63</v>
      </c>
      <c r="H64" t="s">
        <v>80</v>
      </c>
      <c r="I64" s="135">
        <v>41857</v>
      </c>
      <c r="J64">
        <v>101.737</v>
      </c>
      <c r="K64" t="s">
        <v>219</v>
      </c>
      <c r="L64">
        <v>102.638</v>
      </c>
      <c r="N64" s="125">
        <f t="shared" si="1"/>
        <v>90.10000000000105</v>
      </c>
      <c r="O64" s="138">
        <f t="shared" si="17"/>
        <v>251.64927857935336</v>
      </c>
      <c r="P64" s="125">
        <f t="shared" si="2"/>
        <v>2.47</v>
      </c>
      <c r="R64" s="123" t="s">
        <v>63</v>
      </c>
      <c r="T64">
        <v>101.737</v>
      </c>
      <c r="U64" t="s">
        <v>228</v>
      </c>
      <c r="V64" s="125" t="str">
        <f t="shared" si="3"/>
        <v>負け</v>
      </c>
      <c r="W64" s="125">
        <f t="shared" si="13"/>
        <v>0</v>
      </c>
      <c r="X64" s="126">
        <f t="shared" si="14"/>
        <v>0</v>
      </c>
      <c r="Y64" s="126">
        <f t="shared" si="4"/>
        <v>0</v>
      </c>
      <c r="Z64" s="125">
        <f t="shared" si="5"/>
        <v>0</v>
      </c>
      <c r="AA64" s="125">
        <f t="shared" si="6"/>
        <v>0</v>
      </c>
      <c r="AB64" s="144">
        <f t="shared" si="15"/>
        <v>1318320</v>
      </c>
      <c r="AC64" s="144">
        <f t="shared" si="16"/>
        <v>1225910.000000001</v>
      </c>
      <c r="AD64" s="144">
        <f t="shared" si="7"/>
        <v>24518.20000000002</v>
      </c>
      <c r="AE64" s="147">
        <f t="shared" si="8"/>
        <v>272.1220865704743</v>
      </c>
      <c r="AF64">
        <f t="shared" si="9"/>
        <v>2.67</v>
      </c>
      <c r="AG64">
        <v>2</v>
      </c>
      <c r="AH64">
        <f t="shared" si="10"/>
        <v>0</v>
      </c>
    </row>
    <row r="65" spans="1:34" ht="13.5" customHeight="1">
      <c r="A65" s="125">
        <f t="shared" si="11"/>
        <v>63</v>
      </c>
      <c r="B65" s="125">
        <f t="shared" si="12"/>
        <v>1133680</v>
      </c>
      <c r="C65" s="129">
        <f>'ルール＆合計'!$F$3</f>
        <v>0.02</v>
      </c>
      <c r="D65" s="128">
        <f t="shared" si="0"/>
        <v>22673.600000000002</v>
      </c>
      <c r="E65" s="131">
        <v>10000</v>
      </c>
      <c r="F65" s="123" t="s">
        <v>90</v>
      </c>
      <c r="G65" s="113" t="s">
        <v>63</v>
      </c>
      <c r="H65" t="s">
        <v>80</v>
      </c>
      <c r="I65" s="135">
        <v>41866</v>
      </c>
      <c r="J65">
        <v>102.133</v>
      </c>
      <c r="K65" t="s">
        <v>219</v>
      </c>
      <c r="L65">
        <v>102.715</v>
      </c>
      <c r="N65" s="125">
        <f t="shared" si="1"/>
        <v>58.200000000000784</v>
      </c>
      <c r="O65" s="138">
        <f t="shared" si="17"/>
        <v>389.5807560137405</v>
      </c>
      <c r="P65" s="125">
        <f t="shared" si="2"/>
        <v>3.81</v>
      </c>
      <c r="R65" s="123" t="s">
        <v>63</v>
      </c>
      <c r="T65">
        <v>102.133</v>
      </c>
      <c r="U65" t="s">
        <v>229</v>
      </c>
      <c r="V65" s="125" t="str">
        <f t="shared" si="3"/>
        <v>負け</v>
      </c>
      <c r="W65" s="125">
        <f t="shared" si="13"/>
        <v>0</v>
      </c>
      <c r="X65" s="126">
        <f t="shared" si="14"/>
        <v>0</v>
      </c>
      <c r="Y65" s="126">
        <f t="shared" si="4"/>
        <v>0</v>
      </c>
      <c r="Z65" s="125">
        <f t="shared" si="5"/>
        <v>0</v>
      </c>
      <c r="AA65" s="125">
        <f t="shared" si="6"/>
        <v>0</v>
      </c>
      <c r="AB65" s="144">
        <f t="shared" si="15"/>
        <v>1318320</v>
      </c>
      <c r="AC65" s="144">
        <f t="shared" si="16"/>
        <v>1225910.000000001</v>
      </c>
      <c r="AD65" s="144">
        <f t="shared" si="7"/>
        <v>24518.20000000002</v>
      </c>
      <c r="AE65" s="147">
        <f t="shared" si="8"/>
        <v>421.27491408934173</v>
      </c>
      <c r="AF65">
        <f t="shared" si="9"/>
        <v>4.12</v>
      </c>
      <c r="AG65">
        <v>4</v>
      </c>
      <c r="AH65">
        <f t="shared" si="10"/>
        <v>0</v>
      </c>
    </row>
    <row r="66" spans="1:34" ht="13.5" customHeight="1">
      <c r="A66" s="125">
        <f t="shared" si="11"/>
        <v>64</v>
      </c>
      <c r="B66" s="125">
        <f t="shared" si="12"/>
        <v>1133680</v>
      </c>
      <c r="C66" s="129">
        <f>'ルール＆合計'!$F$3</f>
        <v>0.02</v>
      </c>
      <c r="D66" s="128">
        <f t="shared" si="0"/>
        <v>22673.600000000002</v>
      </c>
      <c r="E66" s="131">
        <v>10000</v>
      </c>
      <c r="F66" s="123" t="s">
        <v>90</v>
      </c>
      <c r="G66" s="113" t="s">
        <v>63</v>
      </c>
      <c r="H66" t="s">
        <v>80</v>
      </c>
      <c r="I66" s="135">
        <v>41869</v>
      </c>
      <c r="J66">
        <v>102.594</v>
      </c>
      <c r="K66" t="s">
        <v>206</v>
      </c>
      <c r="L66">
        <v>102.243</v>
      </c>
      <c r="N66" s="125">
        <f t="shared" si="1"/>
        <v>35.09999999999991</v>
      </c>
      <c r="O66" s="138">
        <f t="shared" si="17"/>
        <v>645.9715099715118</v>
      </c>
      <c r="P66" s="125">
        <f t="shared" si="2"/>
        <v>6.29</v>
      </c>
      <c r="R66" s="123" t="s">
        <v>63</v>
      </c>
      <c r="T66">
        <v>102.594</v>
      </c>
      <c r="U66" t="s">
        <v>230</v>
      </c>
      <c r="V66" s="125" t="str">
        <f t="shared" si="3"/>
        <v>負け</v>
      </c>
      <c r="W66" s="125">
        <f t="shared" si="13"/>
        <v>0</v>
      </c>
      <c r="X66" s="126">
        <f t="shared" si="14"/>
        <v>0</v>
      </c>
      <c r="Y66" s="126">
        <f t="shared" si="4"/>
        <v>0</v>
      </c>
      <c r="Z66" s="125">
        <f t="shared" si="5"/>
        <v>0</v>
      </c>
      <c r="AA66" s="125">
        <f t="shared" si="6"/>
        <v>0</v>
      </c>
      <c r="AB66" s="144">
        <f t="shared" si="15"/>
        <v>1318320</v>
      </c>
      <c r="AC66" s="144">
        <f t="shared" si="16"/>
        <v>1225910.000000001</v>
      </c>
      <c r="AD66" s="144">
        <f t="shared" si="7"/>
        <v>24518.20000000002</v>
      </c>
      <c r="AE66" s="147">
        <f t="shared" si="8"/>
        <v>698.5242165242189</v>
      </c>
      <c r="AF66">
        <f t="shared" si="9"/>
        <v>6.8</v>
      </c>
      <c r="AG66">
        <v>6</v>
      </c>
      <c r="AH66">
        <f t="shared" si="10"/>
        <v>0</v>
      </c>
    </row>
    <row r="67" spans="1:34" ht="13.5" customHeight="1">
      <c r="A67" s="125">
        <f t="shared" si="11"/>
        <v>65</v>
      </c>
      <c r="B67" s="125">
        <f t="shared" si="12"/>
        <v>1133680</v>
      </c>
      <c r="C67" s="129">
        <f>'ルール＆合計'!$F$3</f>
        <v>0.02</v>
      </c>
      <c r="D67" s="128">
        <f t="shared" si="0"/>
        <v>22673.600000000002</v>
      </c>
      <c r="E67" s="131">
        <v>10000</v>
      </c>
      <c r="F67" s="123" t="s">
        <v>90</v>
      </c>
      <c r="G67" s="113" t="s">
        <v>63</v>
      </c>
      <c r="H67" t="s">
        <v>80</v>
      </c>
      <c r="I67" s="135">
        <v>41878</v>
      </c>
      <c r="J67">
        <v>103.774</v>
      </c>
      <c r="K67" t="s">
        <v>219</v>
      </c>
      <c r="L67">
        <v>104.161</v>
      </c>
      <c r="N67" s="125">
        <f t="shared" si="1"/>
        <v>38.700000000000045</v>
      </c>
      <c r="O67" s="138">
        <f t="shared" si="17"/>
        <v>585.8811369509037</v>
      </c>
      <c r="P67" s="125">
        <f t="shared" si="2"/>
        <v>5.64</v>
      </c>
      <c r="R67" s="123" t="s">
        <v>63</v>
      </c>
      <c r="T67">
        <v>103.774</v>
      </c>
      <c r="U67" t="s">
        <v>231</v>
      </c>
      <c r="V67" s="125" t="str">
        <f t="shared" si="3"/>
        <v>負け</v>
      </c>
      <c r="W67" s="125">
        <f t="shared" si="13"/>
        <v>0</v>
      </c>
      <c r="X67" s="126">
        <f t="shared" si="14"/>
        <v>0</v>
      </c>
      <c r="Y67" s="126">
        <f t="shared" si="4"/>
        <v>0</v>
      </c>
      <c r="Z67" s="125">
        <f t="shared" si="5"/>
        <v>0</v>
      </c>
      <c r="AA67" s="125">
        <f t="shared" si="6"/>
        <v>0</v>
      </c>
      <c r="AB67" s="144">
        <f t="shared" si="15"/>
        <v>1318320</v>
      </c>
      <c r="AC67" s="144">
        <f t="shared" si="16"/>
        <v>1225910.000000001</v>
      </c>
      <c r="AD67" s="144">
        <f t="shared" si="7"/>
        <v>24518.20000000002</v>
      </c>
      <c r="AE67" s="147">
        <f t="shared" si="8"/>
        <v>633.5452196382427</v>
      </c>
      <c r="AF67">
        <f t="shared" si="9"/>
        <v>6.1</v>
      </c>
      <c r="AG67">
        <v>6</v>
      </c>
      <c r="AH67">
        <f t="shared" si="10"/>
        <v>0</v>
      </c>
    </row>
    <row r="68" spans="1:34" ht="13.5" customHeight="1">
      <c r="A68" s="125">
        <f t="shared" si="11"/>
        <v>66</v>
      </c>
      <c r="B68" s="125">
        <f t="shared" si="12"/>
        <v>1133680</v>
      </c>
      <c r="C68" s="129">
        <f>'ルール＆合計'!$F$3</f>
        <v>0.02</v>
      </c>
      <c r="D68" s="128">
        <f aca="true" t="shared" si="18" ref="D68:D112">B68*C68</f>
        <v>22673.600000000002</v>
      </c>
      <c r="E68" s="131">
        <v>10000</v>
      </c>
      <c r="F68" s="123" t="s">
        <v>90</v>
      </c>
      <c r="G68" s="113" t="s">
        <v>63</v>
      </c>
      <c r="H68" t="s">
        <v>80</v>
      </c>
      <c r="I68" s="135">
        <v>41890</v>
      </c>
      <c r="J68">
        <v>106.082</v>
      </c>
      <c r="K68" t="s">
        <v>206</v>
      </c>
      <c r="L68">
        <v>104.93</v>
      </c>
      <c r="N68" s="125">
        <f aca="true" t="shared" si="19" ref="N68:N112">IF(L68&lt;&gt;"",ABS(L68-J68)/0.01,"")</f>
        <v>115.19999999999868</v>
      </c>
      <c r="O68" s="138">
        <f t="shared" si="17"/>
        <v>196.8194444444467</v>
      </c>
      <c r="P68" s="125">
        <f aca="true" t="shared" si="20" ref="P68:P112">IF(O68&lt;&gt;"",ROUNDDOWN(B68*C68/N68/J68,2),"")</f>
        <v>1.85</v>
      </c>
      <c r="R68" s="123" t="s">
        <v>63</v>
      </c>
      <c r="T68">
        <v>106.082</v>
      </c>
      <c r="U68" t="s">
        <v>232</v>
      </c>
      <c r="V68" s="125" t="str">
        <f aca="true" t="shared" si="21" ref="V68:V112">IF(H68&lt;&gt;"",IF(H68="買い",IF(W68&gt;0,"勝ち","負け"),IF(H68="売り",IF(W68&gt;0,"負け","勝ち"))),"")</f>
        <v>負け</v>
      </c>
      <c r="W68" s="125">
        <f t="shared" si="13"/>
        <v>0</v>
      </c>
      <c r="X68" s="126">
        <f t="shared" si="14"/>
        <v>0</v>
      </c>
      <c r="Y68" s="126">
        <f aca="true" t="shared" si="22" ref="Y68:Y112">IF(V68&lt;&gt;"",IF(V68="負け",W68/0.01,0),"")</f>
        <v>0</v>
      </c>
      <c r="Z68" s="125">
        <f aca="true" t="shared" si="23" ref="Z68:Z112">IF(V68&lt;&gt;"",IF(V68="勝ち",IF(W68&gt;0,W68*E68,ABS(W68*E68)),IF(V68="負け",IF(W68&gt;0,(W68*E68)*-1,W68*E68),"")),"")</f>
        <v>0</v>
      </c>
      <c r="AA68" s="125">
        <f t="shared" si="6"/>
        <v>0</v>
      </c>
      <c r="AB68" s="144">
        <f t="shared" si="15"/>
        <v>1318320</v>
      </c>
      <c r="AC68" s="144">
        <f t="shared" si="16"/>
        <v>1225910.000000001</v>
      </c>
      <c r="AD68" s="144">
        <f aca="true" t="shared" si="24" ref="AD68:AD76">AC68*C68</f>
        <v>24518.20000000002</v>
      </c>
      <c r="AE68" s="147">
        <f t="shared" si="8"/>
        <v>212.83159722222481</v>
      </c>
      <c r="AF68">
        <f t="shared" si="9"/>
        <v>2</v>
      </c>
      <c r="AG68">
        <v>2</v>
      </c>
      <c r="AH68">
        <f aca="true" t="shared" si="25" ref="AH68:AH76">Z68*AG68</f>
        <v>0</v>
      </c>
    </row>
    <row r="69" spans="1:34" ht="13.5" customHeight="1">
      <c r="A69" s="125">
        <f aca="true" t="shared" si="26" ref="A69:A112">IF($F69&lt;&gt;"",ROW()-2,"")</f>
        <v>67</v>
      </c>
      <c r="B69" s="125">
        <f aca="true" t="shared" si="27" ref="B69:B112">IF(V68&lt;&gt;"",B68+ROUND(Z68,0),"")</f>
        <v>1133680</v>
      </c>
      <c r="C69" s="129">
        <f>'ルール＆合計'!$F$3</f>
        <v>0.02</v>
      </c>
      <c r="D69" s="128">
        <f t="shared" si="18"/>
        <v>22673.600000000002</v>
      </c>
      <c r="E69" s="131">
        <v>10000</v>
      </c>
      <c r="F69" s="123" t="s">
        <v>90</v>
      </c>
      <c r="G69" s="113" t="s">
        <v>63</v>
      </c>
      <c r="H69" t="s">
        <v>80</v>
      </c>
      <c r="I69" s="135">
        <v>41899</v>
      </c>
      <c r="J69">
        <v>108.389</v>
      </c>
      <c r="K69" t="s">
        <v>206</v>
      </c>
      <c r="L69">
        <v>107.078</v>
      </c>
      <c r="N69" s="125">
        <f t="shared" si="19"/>
        <v>131.09999999999928</v>
      </c>
      <c r="O69" s="138">
        <f t="shared" si="17"/>
        <v>172.94889397406655</v>
      </c>
      <c r="P69" s="125">
        <f t="shared" si="20"/>
        <v>1.59</v>
      </c>
      <c r="R69" s="123" t="s">
        <v>63</v>
      </c>
      <c r="T69">
        <v>108.389</v>
      </c>
      <c r="U69" t="s">
        <v>222</v>
      </c>
      <c r="V69" s="125" t="str">
        <f t="shared" si="21"/>
        <v>負け</v>
      </c>
      <c r="W69" s="125">
        <f aca="true" t="shared" si="28" ref="W69:W112">IF(T69&lt;&gt;"",T69-J69,"")</f>
        <v>0</v>
      </c>
      <c r="X69" s="126">
        <f aca="true" t="shared" si="29" ref="X69:X112">IF(V69&lt;&gt;"",IF(V69="勝ち",W69/0.01,0),"")</f>
        <v>0</v>
      </c>
      <c r="Y69" s="126">
        <f t="shared" si="22"/>
        <v>0</v>
      </c>
      <c r="Z69" s="125">
        <f t="shared" si="23"/>
        <v>0</v>
      </c>
      <c r="AA69" s="125">
        <f aca="true" t="shared" si="30" ref="AA69:AA91">IF(V69&lt;&gt;"",IF(V69="勝ち",IF(W69&gt;0,W69*E69,ABS(W69*E69)),IF(V69="負け",IF(W69&gt;0,(W69*E69)*-1,W69*E69),""))*Q69,"")</f>
        <v>0</v>
      </c>
      <c r="AB69" s="144">
        <f aca="true" t="shared" si="31" ref="AB69:AB90">AB68+AA68</f>
        <v>1318320</v>
      </c>
      <c r="AC69" s="144">
        <f aca="true" t="shared" si="32" ref="AC69:AC76">AC68+AH68</f>
        <v>1225910.000000001</v>
      </c>
      <c r="AD69" s="144">
        <f t="shared" si="24"/>
        <v>24518.20000000002</v>
      </c>
      <c r="AE69" s="147">
        <f aca="true" t="shared" si="33" ref="AE69:AE76">AD69/N69</f>
        <v>187.01906941266324</v>
      </c>
      <c r="AF69">
        <f aca="true" t="shared" si="34" ref="AF69:AF76">IF(O69&lt;&gt;"",ROUNDDOWN(AD69/N69/J69,2),"")</f>
        <v>1.72</v>
      </c>
      <c r="AG69">
        <v>1</v>
      </c>
      <c r="AH69">
        <f t="shared" si="25"/>
        <v>0</v>
      </c>
    </row>
    <row r="70" spans="1:34" ht="13.5" customHeight="1">
      <c r="A70" s="125">
        <f t="shared" si="26"/>
        <v>68</v>
      </c>
      <c r="B70" s="125">
        <f t="shared" si="27"/>
        <v>1133680</v>
      </c>
      <c r="C70" s="129">
        <f>'ルール＆合計'!$F$3</f>
        <v>0.02</v>
      </c>
      <c r="D70" s="128">
        <f t="shared" si="18"/>
        <v>22673.600000000002</v>
      </c>
      <c r="E70" s="131">
        <v>10000</v>
      </c>
      <c r="F70" s="123" t="s">
        <v>90</v>
      </c>
      <c r="G70" s="113" t="s">
        <v>63</v>
      </c>
      <c r="H70" t="s">
        <v>80</v>
      </c>
      <c r="I70" s="135">
        <v>41908</v>
      </c>
      <c r="J70">
        <v>109.529</v>
      </c>
      <c r="K70" t="s">
        <v>206</v>
      </c>
      <c r="L70">
        <v>108.474</v>
      </c>
      <c r="N70" s="125">
        <f t="shared" si="19"/>
        <v>105.49999999999926</v>
      </c>
      <c r="O70" s="138">
        <f aca="true" t="shared" si="35" ref="O70:O91">IF(N70&lt;&gt;"",D70/N70,"")</f>
        <v>214.91563981042808</v>
      </c>
      <c r="P70" s="125">
        <f t="shared" si="20"/>
        <v>1.96</v>
      </c>
      <c r="R70" s="123" t="s">
        <v>63</v>
      </c>
      <c r="T70">
        <v>109.529</v>
      </c>
      <c r="U70" t="s">
        <v>233</v>
      </c>
      <c r="V70" s="125" t="str">
        <f t="shared" si="21"/>
        <v>負け</v>
      </c>
      <c r="W70" s="125">
        <f t="shared" si="28"/>
        <v>0</v>
      </c>
      <c r="X70" s="126">
        <f t="shared" si="29"/>
        <v>0</v>
      </c>
      <c r="Y70" s="126">
        <f t="shared" si="22"/>
        <v>0</v>
      </c>
      <c r="Z70" s="125">
        <f t="shared" si="23"/>
        <v>0</v>
      </c>
      <c r="AA70" s="125">
        <f t="shared" si="30"/>
        <v>0</v>
      </c>
      <c r="AB70" s="144">
        <f t="shared" si="31"/>
        <v>1318320</v>
      </c>
      <c r="AC70" s="144">
        <f t="shared" si="32"/>
        <v>1225910.000000001</v>
      </c>
      <c r="AD70" s="144">
        <f t="shared" si="24"/>
        <v>24518.20000000002</v>
      </c>
      <c r="AE70" s="147">
        <f t="shared" si="33"/>
        <v>232.4000000000018</v>
      </c>
      <c r="AF70">
        <f t="shared" si="34"/>
        <v>2.12</v>
      </c>
      <c r="AG70">
        <v>2</v>
      </c>
      <c r="AH70">
        <f t="shared" si="25"/>
        <v>0</v>
      </c>
    </row>
    <row r="71" spans="1:37" ht="13.5" customHeight="1">
      <c r="A71" s="125">
        <f t="shared" si="26"/>
        <v>69</v>
      </c>
      <c r="B71" s="125">
        <f t="shared" si="27"/>
        <v>1133680</v>
      </c>
      <c r="C71" s="129">
        <f>'ルール＆合計'!$F$3</f>
        <v>0.02</v>
      </c>
      <c r="D71" s="128">
        <f t="shared" si="18"/>
        <v>22673.600000000002</v>
      </c>
      <c r="E71" s="131">
        <v>10000</v>
      </c>
      <c r="F71" s="123" t="s">
        <v>90</v>
      </c>
      <c r="G71" s="113" t="s">
        <v>63</v>
      </c>
      <c r="H71" t="s">
        <v>80</v>
      </c>
      <c r="I71" s="135">
        <v>41915</v>
      </c>
      <c r="J71">
        <v>109.902</v>
      </c>
      <c r="K71" t="s">
        <v>206</v>
      </c>
      <c r="L71">
        <v>108.342</v>
      </c>
      <c r="N71" s="125">
        <f t="shared" si="19"/>
        <v>156.00000000000023</v>
      </c>
      <c r="O71" s="138">
        <f t="shared" si="35"/>
        <v>145.34358974358955</v>
      </c>
      <c r="P71" s="125">
        <f t="shared" si="20"/>
        <v>1.32</v>
      </c>
      <c r="R71" s="123" t="s">
        <v>63</v>
      </c>
      <c r="T71">
        <v>109.902</v>
      </c>
      <c r="U71" t="s">
        <v>234</v>
      </c>
      <c r="V71" s="125" t="str">
        <f t="shared" si="21"/>
        <v>負け</v>
      </c>
      <c r="W71" s="125">
        <f t="shared" si="28"/>
        <v>0</v>
      </c>
      <c r="X71" s="126">
        <f t="shared" si="29"/>
        <v>0</v>
      </c>
      <c r="Y71" s="126">
        <f t="shared" si="22"/>
        <v>0</v>
      </c>
      <c r="Z71" s="125">
        <f t="shared" si="23"/>
        <v>0</v>
      </c>
      <c r="AA71" s="125">
        <f t="shared" si="30"/>
        <v>0</v>
      </c>
      <c r="AB71" s="144">
        <f t="shared" si="31"/>
        <v>1318320</v>
      </c>
      <c r="AC71" s="144">
        <f t="shared" si="32"/>
        <v>1225910.000000001</v>
      </c>
      <c r="AD71" s="144">
        <f t="shared" si="24"/>
        <v>24518.20000000002</v>
      </c>
      <c r="AE71" s="147">
        <f t="shared" si="33"/>
        <v>157.1679487179486</v>
      </c>
      <c r="AF71">
        <f t="shared" si="34"/>
        <v>1.43</v>
      </c>
      <c r="AG71">
        <v>1</v>
      </c>
      <c r="AH71">
        <f t="shared" si="25"/>
        <v>0</v>
      </c>
      <c r="AJ71" t="s">
        <v>261</v>
      </c>
      <c r="AK71" t="s">
        <v>263</v>
      </c>
    </row>
    <row r="72" spans="1:37" ht="13.5" customHeight="1">
      <c r="A72" s="125">
        <f t="shared" si="26"/>
        <v>70</v>
      </c>
      <c r="B72" s="125">
        <f t="shared" si="27"/>
        <v>1133680</v>
      </c>
      <c r="C72" s="129">
        <f>'ルール＆合計'!$F$3</f>
        <v>0.02</v>
      </c>
      <c r="D72" s="128">
        <f t="shared" si="18"/>
        <v>22673.600000000002</v>
      </c>
      <c r="E72" s="131">
        <v>10000</v>
      </c>
      <c r="F72" s="123" t="s">
        <v>90</v>
      </c>
      <c r="G72" s="113" t="s">
        <v>63</v>
      </c>
      <c r="H72" t="s">
        <v>64</v>
      </c>
      <c r="I72" s="135">
        <v>41927</v>
      </c>
      <c r="J72">
        <v>105.496</v>
      </c>
      <c r="K72" t="s">
        <v>203</v>
      </c>
      <c r="L72">
        <v>107.496</v>
      </c>
      <c r="N72" s="125">
        <f t="shared" si="19"/>
        <v>200</v>
      </c>
      <c r="O72" s="138">
        <f t="shared" si="35"/>
        <v>113.36800000000001</v>
      </c>
      <c r="P72" s="125">
        <f t="shared" si="20"/>
        <v>1.07</v>
      </c>
      <c r="R72" s="123" t="s">
        <v>63</v>
      </c>
      <c r="T72">
        <v>105.496</v>
      </c>
      <c r="U72" t="s">
        <v>214</v>
      </c>
      <c r="V72" s="125" t="str">
        <f t="shared" si="21"/>
        <v>勝ち</v>
      </c>
      <c r="W72" s="125">
        <f t="shared" si="28"/>
        <v>0</v>
      </c>
      <c r="X72" s="126">
        <f t="shared" si="29"/>
        <v>0</v>
      </c>
      <c r="Y72" s="126">
        <f t="shared" si="22"/>
        <v>0</v>
      </c>
      <c r="Z72" s="125">
        <f t="shared" si="23"/>
        <v>0</v>
      </c>
      <c r="AA72" s="125">
        <f t="shared" si="30"/>
        <v>0</v>
      </c>
      <c r="AB72" s="144">
        <f t="shared" si="31"/>
        <v>1318320</v>
      </c>
      <c r="AC72" s="144">
        <f t="shared" si="32"/>
        <v>1225910.000000001</v>
      </c>
      <c r="AD72" s="144">
        <f t="shared" si="24"/>
        <v>24518.20000000002</v>
      </c>
      <c r="AE72" s="147">
        <f t="shared" si="33"/>
        <v>122.5910000000001</v>
      </c>
      <c r="AF72">
        <f t="shared" si="34"/>
        <v>1.16</v>
      </c>
      <c r="AG72">
        <v>1</v>
      </c>
      <c r="AH72">
        <f t="shared" si="25"/>
        <v>0</v>
      </c>
      <c r="AI72" t="s">
        <v>241</v>
      </c>
      <c r="AJ72">
        <f>SUMIF(AA42:AA75,"&gt;0")</f>
        <v>268300.0000000001</v>
      </c>
      <c r="AK72">
        <f>SUMIF(AA42:AA75,"&lt;0")</f>
        <v>-46799.99999999964</v>
      </c>
    </row>
    <row r="73" spans="1:37" ht="13.5" customHeight="1">
      <c r="A73" s="125">
        <f t="shared" si="26"/>
        <v>71</v>
      </c>
      <c r="B73" s="125">
        <f t="shared" si="27"/>
        <v>1133680</v>
      </c>
      <c r="C73" s="129">
        <f>'ルール＆合計'!$F$3</f>
        <v>0.02</v>
      </c>
      <c r="D73" s="128">
        <f t="shared" si="18"/>
        <v>22673.600000000002</v>
      </c>
      <c r="E73" s="131">
        <v>10000</v>
      </c>
      <c r="F73" s="123" t="s">
        <v>90</v>
      </c>
      <c r="G73" s="113" t="s">
        <v>63</v>
      </c>
      <c r="H73" t="s">
        <v>80</v>
      </c>
      <c r="I73" s="135">
        <v>41950</v>
      </c>
      <c r="J73">
        <v>114.253</v>
      </c>
      <c r="K73" t="s">
        <v>219</v>
      </c>
      <c r="L73">
        <v>115.563</v>
      </c>
      <c r="N73" s="125">
        <f t="shared" si="19"/>
        <v>131.00000000000023</v>
      </c>
      <c r="O73" s="138">
        <f t="shared" si="35"/>
        <v>173.08091603053407</v>
      </c>
      <c r="P73" s="125">
        <f t="shared" si="20"/>
        <v>1.51</v>
      </c>
      <c r="R73" s="123" t="s">
        <v>63</v>
      </c>
      <c r="T73">
        <v>114.253</v>
      </c>
      <c r="U73" t="s">
        <v>235</v>
      </c>
      <c r="V73" s="125" t="str">
        <f t="shared" si="21"/>
        <v>負け</v>
      </c>
      <c r="W73" s="125">
        <f t="shared" si="28"/>
        <v>0</v>
      </c>
      <c r="X73" s="126">
        <f t="shared" si="29"/>
        <v>0</v>
      </c>
      <c r="Y73" s="126">
        <f t="shared" si="22"/>
        <v>0</v>
      </c>
      <c r="Z73" s="125">
        <f t="shared" si="23"/>
        <v>0</v>
      </c>
      <c r="AA73" s="125">
        <f t="shared" si="30"/>
        <v>0</v>
      </c>
      <c r="AB73" s="144">
        <f t="shared" si="31"/>
        <v>1318320</v>
      </c>
      <c r="AC73" s="144">
        <f t="shared" si="32"/>
        <v>1225910.000000001</v>
      </c>
      <c r="AD73" s="144">
        <f t="shared" si="24"/>
        <v>24518.20000000002</v>
      </c>
      <c r="AE73" s="147">
        <f t="shared" si="33"/>
        <v>187.1618320610685</v>
      </c>
      <c r="AF73">
        <f t="shared" si="34"/>
        <v>1.63</v>
      </c>
      <c r="AG73">
        <v>1</v>
      </c>
      <c r="AH73">
        <f t="shared" si="25"/>
        <v>0</v>
      </c>
      <c r="AI73" t="s">
        <v>260</v>
      </c>
      <c r="AJ73">
        <f>COUNTIF(Z42:Z75,"&gt;0")</f>
        <v>2</v>
      </c>
      <c r="AK73">
        <f>COUNTIF(AA42:AA75,"&lt;0")</f>
        <v>3</v>
      </c>
    </row>
    <row r="74" spans="1:34" ht="13.5" customHeight="1">
      <c r="A74" s="125">
        <f t="shared" si="26"/>
        <v>72</v>
      </c>
      <c r="B74" s="125">
        <f t="shared" si="27"/>
        <v>1133680</v>
      </c>
      <c r="C74" s="129">
        <f>'ルール＆合計'!$F$3</f>
        <v>0.02</v>
      </c>
      <c r="D74" s="128">
        <f t="shared" si="18"/>
        <v>22673.600000000002</v>
      </c>
      <c r="E74" s="131">
        <v>10000</v>
      </c>
      <c r="F74" s="123" t="s">
        <v>90</v>
      </c>
      <c r="G74" s="113" t="s">
        <v>63</v>
      </c>
      <c r="H74" t="s">
        <v>80</v>
      </c>
      <c r="I74" s="135">
        <v>41975</v>
      </c>
      <c r="J74">
        <v>119.282</v>
      </c>
      <c r="K74" t="s">
        <v>206</v>
      </c>
      <c r="L74">
        <v>118.218</v>
      </c>
      <c r="N74" s="125">
        <f t="shared" si="19"/>
        <v>106.3999999999993</v>
      </c>
      <c r="O74" s="138">
        <f t="shared" si="35"/>
        <v>213.09774436090368</v>
      </c>
      <c r="P74" s="125">
        <f t="shared" si="20"/>
        <v>1.78</v>
      </c>
      <c r="R74" s="123" t="s">
        <v>63</v>
      </c>
      <c r="T74">
        <v>119.282</v>
      </c>
      <c r="U74" t="s">
        <v>233</v>
      </c>
      <c r="V74" s="125" t="str">
        <f t="shared" si="21"/>
        <v>負け</v>
      </c>
      <c r="W74" s="125">
        <f t="shared" si="28"/>
        <v>0</v>
      </c>
      <c r="X74" s="126">
        <f t="shared" si="29"/>
        <v>0</v>
      </c>
      <c r="Y74" s="126">
        <f t="shared" si="22"/>
        <v>0</v>
      </c>
      <c r="Z74" s="125">
        <f t="shared" si="23"/>
        <v>0</v>
      </c>
      <c r="AA74" s="125">
        <f t="shared" si="30"/>
        <v>0</v>
      </c>
      <c r="AB74" s="144">
        <f t="shared" si="31"/>
        <v>1318320</v>
      </c>
      <c r="AC74" s="144">
        <f t="shared" si="32"/>
        <v>1225910.000000001</v>
      </c>
      <c r="AD74" s="144">
        <f t="shared" si="24"/>
        <v>24518.20000000002</v>
      </c>
      <c r="AE74" s="147">
        <f t="shared" si="33"/>
        <v>230.4342105263175</v>
      </c>
      <c r="AF74">
        <f t="shared" si="34"/>
        <v>1.93</v>
      </c>
      <c r="AG74">
        <v>1</v>
      </c>
      <c r="AH74">
        <f t="shared" si="25"/>
        <v>0</v>
      </c>
    </row>
    <row r="75" spans="1:34" ht="13.5" customHeight="1">
      <c r="A75" s="125">
        <f t="shared" si="26"/>
        <v>73</v>
      </c>
      <c r="B75" s="125">
        <f t="shared" si="27"/>
        <v>1133680</v>
      </c>
      <c r="C75" s="129">
        <f>'ルール＆合計'!$F$3</f>
        <v>0.02</v>
      </c>
      <c r="D75" s="128">
        <f t="shared" si="18"/>
        <v>22673.600000000002</v>
      </c>
      <c r="E75" s="131">
        <v>10000</v>
      </c>
      <c r="F75" s="123" t="s">
        <v>90</v>
      </c>
      <c r="G75" s="113" t="s">
        <v>63</v>
      </c>
      <c r="H75" t="s">
        <v>64</v>
      </c>
      <c r="I75" s="135">
        <v>41990</v>
      </c>
      <c r="J75">
        <v>118.897</v>
      </c>
      <c r="K75" t="s">
        <v>201</v>
      </c>
      <c r="L75">
        <v>116.284</v>
      </c>
      <c r="N75" s="125">
        <f t="shared" si="19"/>
        <v>261.29999999999995</v>
      </c>
      <c r="O75" s="138">
        <f t="shared" si="35"/>
        <v>86.7722923842327</v>
      </c>
      <c r="P75" s="125">
        <f t="shared" si="20"/>
        <v>0.72</v>
      </c>
      <c r="R75" s="123" t="s">
        <v>63</v>
      </c>
      <c r="T75">
        <v>118.897</v>
      </c>
      <c r="U75" t="s">
        <v>202</v>
      </c>
      <c r="V75" s="125" t="str">
        <f t="shared" si="21"/>
        <v>勝ち</v>
      </c>
      <c r="W75" s="125">
        <f t="shared" si="28"/>
        <v>0</v>
      </c>
      <c r="X75" s="126">
        <f t="shared" si="29"/>
        <v>0</v>
      </c>
      <c r="Y75" s="126">
        <f t="shared" si="22"/>
        <v>0</v>
      </c>
      <c r="Z75" s="125">
        <f t="shared" si="23"/>
        <v>0</v>
      </c>
      <c r="AA75" s="125">
        <f t="shared" si="30"/>
        <v>0</v>
      </c>
      <c r="AB75" s="144">
        <f t="shared" si="31"/>
        <v>1318320</v>
      </c>
      <c r="AC75" s="144">
        <f t="shared" si="32"/>
        <v>1225910.000000001</v>
      </c>
      <c r="AD75" s="144">
        <f t="shared" si="24"/>
        <v>24518.20000000002</v>
      </c>
      <c r="AE75" s="147">
        <f t="shared" si="33"/>
        <v>93.83161117489485</v>
      </c>
      <c r="AF75">
        <f t="shared" si="34"/>
        <v>0.78</v>
      </c>
      <c r="AG75">
        <v>0</v>
      </c>
      <c r="AH75">
        <f t="shared" si="25"/>
        <v>0</v>
      </c>
    </row>
    <row r="76" spans="1:38" ht="13.5" customHeight="1">
      <c r="A76" s="125">
        <f t="shared" si="26"/>
        <v>74</v>
      </c>
      <c r="B76" s="125">
        <f t="shared" si="27"/>
        <v>1133680</v>
      </c>
      <c r="C76" s="129">
        <f>'ルール＆合計'!$F$3</f>
        <v>0.02</v>
      </c>
      <c r="D76" s="128">
        <f t="shared" si="18"/>
        <v>22673.600000000002</v>
      </c>
      <c r="E76" s="131">
        <v>10000</v>
      </c>
      <c r="F76" s="123" t="s">
        <v>90</v>
      </c>
      <c r="G76" s="113" t="s">
        <v>63</v>
      </c>
      <c r="H76" t="s">
        <v>80</v>
      </c>
      <c r="I76" s="135" t="s">
        <v>237</v>
      </c>
      <c r="J76">
        <v>118.857</v>
      </c>
      <c r="K76" t="s">
        <v>219</v>
      </c>
      <c r="L76">
        <v>120.681</v>
      </c>
      <c r="N76" s="125">
        <f t="shared" si="19"/>
        <v>182.3999999999998</v>
      </c>
      <c r="O76" s="138">
        <f t="shared" si="35"/>
        <v>124.30701754385979</v>
      </c>
      <c r="P76" s="125">
        <f t="shared" si="20"/>
        <v>1.04</v>
      </c>
      <c r="Q76">
        <v>1</v>
      </c>
      <c r="R76" s="123" t="s">
        <v>63</v>
      </c>
      <c r="S76" s="135">
        <v>42041</v>
      </c>
      <c r="T76">
        <v>117.014</v>
      </c>
      <c r="U76" t="s">
        <v>179</v>
      </c>
      <c r="V76" s="125" t="str">
        <f t="shared" si="21"/>
        <v>負け</v>
      </c>
      <c r="W76" s="125">
        <f t="shared" si="28"/>
        <v>-1.8430000000000035</v>
      </c>
      <c r="X76" s="126">
        <f t="shared" si="29"/>
        <v>0</v>
      </c>
      <c r="Y76" s="126">
        <f t="shared" si="22"/>
        <v>-184.30000000000035</v>
      </c>
      <c r="Z76" s="125">
        <f t="shared" si="23"/>
        <v>-18430.000000000036</v>
      </c>
      <c r="AA76" s="125">
        <f t="shared" si="30"/>
        <v>-18430.000000000036</v>
      </c>
      <c r="AB76" s="144">
        <f t="shared" si="31"/>
        <v>1318320</v>
      </c>
      <c r="AC76" s="144">
        <f t="shared" si="32"/>
        <v>1225910.000000001</v>
      </c>
      <c r="AD76" s="144">
        <f t="shared" si="24"/>
        <v>24518.20000000002</v>
      </c>
      <c r="AE76" s="147">
        <f t="shared" si="33"/>
        <v>134.41995614035113</v>
      </c>
      <c r="AF76">
        <f t="shared" si="34"/>
        <v>1.13</v>
      </c>
      <c r="AG76">
        <v>1</v>
      </c>
      <c r="AH76">
        <f t="shared" si="25"/>
        <v>-18430.000000000036</v>
      </c>
      <c r="AI76" s="150"/>
      <c r="AJ76" s="150"/>
      <c r="AK76" s="150"/>
      <c r="AL76" s="150"/>
    </row>
    <row r="77" spans="1:34" ht="13.5" customHeight="1">
      <c r="A77" s="125">
        <f t="shared" si="26"/>
        <v>75</v>
      </c>
      <c r="B77" s="125">
        <f t="shared" si="27"/>
        <v>1115250</v>
      </c>
      <c r="C77" s="129">
        <f>'ルール＆合計'!$F$3</f>
        <v>0.02</v>
      </c>
      <c r="D77" s="128">
        <f t="shared" si="18"/>
        <v>22305</v>
      </c>
      <c r="E77" s="131">
        <v>10000</v>
      </c>
      <c r="F77" s="123" t="s">
        <v>90</v>
      </c>
      <c r="G77" s="113" t="s">
        <v>63</v>
      </c>
      <c r="H77" t="s">
        <v>80</v>
      </c>
      <c r="I77" s="135">
        <v>42009</v>
      </c>
      <c r="J77">
        <v>119.367</v>
      </c>
      <c r="K77" t="s">
        <v>219</v>
      </c>
      <c r="L77">
        <v>120.641</v>
      </c>
      <c r="N77" s="125">
        <f t="shared" si="19"/>
        <v>127.40000000000009</v>
      </c>
      <c r="O77" s="138">
        <f t="shared" si="35"/>
        <v>175.07849293563567</v>
      </c>
      <c r="P77" s="125">
        <f t="shared" si="20"/>
        <v>1.46</v>
      </c>
      <c r="R77" s="123" t="s">
        <v>63</v>
      </c>
      <c r="T77">
        <v>119.367</v>
      </c>
      <c r="U77" t="s">
        <v>245</v>
      </c>
      <c r="V77" s="125" t="str">
        <f t="shared" si="21"/>
        <v>負け</v>
      </c>
      <c r="W77" s="125">
        <f t="shared" si="28"/>
        <v>0</v>
      </c>
      <c r="X77" s="126">
        <f t="shared" si="29"/>
        <v>0</v>
      </c>
      <c r="Y77" s="126">
        <f t="shared" si="22"/>
        <v>0</v>
      </c>
      <c r="Z77" s="125">
        <f t="shared" si="23"/>
        <v>0</v>
      </c>
      <c r="AA77" s="125">
        <f t="shared" si="30"/>
        <v>0</v>
      </c>
      <c r="AB77" s="144">
        <f t="shared" si="31"/>
        <v>1299890</v>
      </c>
      <c r="AC77" s="144">
        <f aca="true" t="shared" si="36" ref="AC77:AC90">AC76+AH76</f>
        <v>1207480.000000001</v>
      </c>
      <c r="AD77" s="144">
        <f aca="true" t="shared" si="37" ref="AD77:AD90">AC77*C77</f>
        <v>24149.60000000002</v>
      </c>
      <c r="AE77" s="147">
        <f aca="true" t="shared" si="38" ref="AE77:AE90">AD77/N77</f>
        <v>189.55729984301416</v>
      </c>
      <c r="AF77">
        <f aca="true" t="shared" si="39" ref="AF77:AF90">IF(O77&lt;&gt;"",ROUNDDOWN(AD77/N77/J77,2),"")</f>
        <v>1.58</v>
      </c>
      <c r="AG77">
        <v>1</v>
      </c>
      <c r="AH77">
        <f aca="true" t="shared" si="40" ref="AH77:AH90">Z77*AG77</f>
        <v>0</v>
      </c>
    </row>
    <row r="78" spans="1:34" ht="13.5" customHeight="1">
      <c r="A78" s="125">
        <f t="shared" si="26"/>
        <v>76</v>
      </c>
      <c r="B78" s="125">
        <f t="shared" si="27"/>
        <v>1115250</v>
      </c>
      <c r="C78" s="129">
        <f>'ルール＆合計'!$F$3</f>
        <v>0.02</v>
      </c>
      <c r="D78" s="128">
        <f t="shared" si="18"/>
        <v>22305</v>
      </c>
      <c r="E78" s="131">
        <v>10000</v>
      </c>
      <c r="F78" s="123" t="s">
        <v>90</v>
      </c>
      <c r="G78" s="113" t="s">
        <v>63</v>
      </c>
      <c r="H78" t="s">
        <v>64</v>
      </c>
      <c r="I78" s="135">
        <v>42013</v>
      </c>
      <c r="J78">
        <v>118.412</v>
      </c>
      <c r="K78" t="s">
        <v>203</v>
      </c>
      <c r="L78">
        <v>119.869</v>
      </c>
      <c r="N78" s="125">
        <f t="shared" si="19"/>
        <v>145.69999999999936</v>
      </c>
      <c r="O78" s="138">
        <f t="shared" si="35"/>
        <v>153.08853809197046</v>
      </c>
      <c r="P78" s="125">
        <f t="shared" si="20"/>
        <v>1.29</v>
      </c>
      <c r="R78" s="123" t="s">
        <v>63</v>
      </c>
      <c r="T78">
        <v>118.412</v>
      </c>
      <c r="U78" t="s">
        <v>246</v>
      </c>
      <c r="V78" s="125" t="str">
        <f t="shared" si="21"/>
        <v>勝ち</v>
      </c>
      <c r="W78" s="125">
        <f t="shared" si="28"/>
        <v>0</v>
      </c>
      <c r="X78" s="126">
        <f t="shared" si="29"/>
        <v>0</v>
      </c>
      <c r="Y78" s="126">
        <f t="shared" si="22"/>
        <v>0</v>
      </c>
      <c r="Z78" s="125">
        <f t="shared" si="23"/>
        <v>0</v>
      </c>
      <c r="AA78" s="125">
        <f t="shared" si="30"/>
        <v>0</v>
      </c>
      <c r="AB78" s="144">
        <f t="shared" si="31"/>
        <v>1299890</v>
      </c>
      <c r="AC78" s="144">
        <f t="shared" si="36"/>
        <v>1207480.000000001</v>
      </c>
      <c r="AD78" s="144">
        <f t="shared" si="37"/>
        <v>24149.60000000002</v>
      </c>
      <c r="AE78" s="147">
        <f t="shared" si="38"/>
        <v>165.74879890185397</v>
      </c>
      <c r="AF78">
        <f t="shared" si="39"/>
        <v>1.39</v>
      </c>
      <c r="AG78">
        <v>1</v>
      </c>
      <c r="AH78">
        <f t="shared" si="40"/>
        <v>0</v>
      </c>
    </row>
    <row r="79" spans="1:34" ht="13.5" customHeight="1">
      <c r="A79" s="125">
        <f t="shared" si="26"/>
        <v>77</v>
      </c>
      <c r="B79" s="125">
        <f t="shared" si="27"/>
        <v>1115250</v>
      </c>
      <c r="C79" s="129">
        <f>'ルール＆合計'!$F$3</f>
        <v>0.02</v>
      </c>
      <c r="D79" s="128">
        <f t="shared" si="18"/>
        <v>22305</v>
      </c>
      <c r="E79" s="131">
        <v>10000</v>
      </c>
      <c r="F79" s="123" t="s">
        <v>90</v>
      </c>
      <c r="G79" s="113" t="s">
        <v>63</v>
      </c>
      <c r="H79" t="s">
        <v>64</v>
      </c>
      <c r="I79" s="135">
        <v>42020</v>
      </c>
      <c r="J79">
        <v>117.762</v>
      </c>
      <c r="K79" t="s">
        <v>201</v>
      </c>
      <c r="L79">
        <v>115.552</v>
      </c>
      <c r="N79" s="125">
        <f t="shared" si="19"/>
        <v>220.99999999999937</v>
      </c>
      <c r="O79" s="138">
        <f t="shared" si="35"/>
        <v>100.92760180995504</v>
      </c>
      <c r="P79" s="125">
        <f t="shared" si="20"/>
        <v>0.85</v>
      </c>
      <c r="R79" s="123" t="s">
        <v>63</v>
      </c>
      <c r="T79">
        <v>117.762</v>
      </c>
      <c r="U79" t="s">
        <v>247</v>
      </c>
      <c r="V79" s="125" t="str">
        <f t="shared" si="21"/>
        <v>勝ち</v>
      </c>
      <c r="W79" s="125">
        <f t="shared" si="28"/>
        <v>0</v>
      </c>
      <c r="X79" s="126">
        <f t="shared" si="29"/>
        <v>0</v>
      </c>
      <c r="Y79" s="126">
        <f t="shared" si="22"/>
        <v>0</v>
      </c>
      <c r="Z79" s="125">
        <f t="shared" si="23"/>
        <v>0</v>
      </c>
      <c r="AA79" s="125">
        <f t="shared" si="30"/>
        <v>0</v>
      </c>
      <c r="AB79" s="144">
        <f t="shared" si="31"/>
        <v>1299890</v>
      </c>
      <c r="AC79" s="144">
        <f t="shared" si="36"/>
        <v>1207480.000000001</v>
      </c>
      <c r="AD79" s="144">
        <f t="shared" si="37"/>
        <v>24149.60000000002</v>
      </c>
      <c r="AE79" s="147">
        <f t="shared" si="38"/>
        <v>109.27420814479679</v>
      </c>
      <c r="AF79">
        <f t="shared" si="39"/>
        <v>0.92</v>
      </c>
      <c r="AG79">
        <v>1</v>
      </c>
      <c r="AH79">
        <f t="shared" si="40"/>
        <v>0</v>
      </c>
    </row>
    <row r="80" spans="1:34" ht="13.5" customHeight="1">
      <c r="A80" s="125">
        <f t="shared" si="26"/>
        <v>78</v>
      </c>
      <c r="B80" s="125">
        <f t="shared" si="27"/>
        <v>1115250</v>
      </c>
      <c r="C80" s="129">
        <f>'ルール＆合計'!$F$3</f>
        <v>0.02</v>
      </c>
      <c r="D80" s="128">
        <f t="shared" si="18"/>
        <v>22305</v>
      </c>
      <c r="E80" s="131">
        <v>10000</v>
      </c>
      <c r="F80" s="123" t="s">
        <v>90</v>
      </c>
      <c r="G80" s="113" t="s">
        <v>63</v>
      </c>
      <c r="H80" t="s">
        <v>64</v>
      </c>
      <c r="I80" s="135">
        <v>42034</v>
      </c>
      <c r="J80">
        <v>117.295</v>
      </c>
      <c r="K80" t="s">
        <v>203</v>
      </c>
      <c r="L80">
        <v>118.453</v>
      </c>
      <c r="N80" s="125">
        <f t="shared" si="19"/>
        <v>115.80000000000013</v>
      </c>
      <c r="O80" s="138">
        <f t="shared" si="35"/>
        <v>192.6165803108806</v>
      </c>
      <c r="P80" s="125">
        <f t="shared" si="20"/>
        <v>1.64</v>
      </c>
      <c r="R80" s="123" t="s">
        <v>63</v>
      </c>
      <c r="T80">
        <v>117.295</v>
      </c>
      <c r="U80" t="s">
        <v>246</v>
      </c>
      <c r="V80" s="125" t="str">
        <f t="shared" si="21"/>
        <v>勝ち</v>
      </c>
      <c r="W80" s="125">
        <f t="shared" si="28"/>
        <v>0</v>
      </c>
      <c r="X80" s="126">
        <f t="shared" si="29"/>
        <v>0</v>
      </c>
      <c r="Y80" s="126">
        <f t="shared" si="22"/>
        <v>0</v>
      </c>
      <c r="Z80" s="125">
        <f t="shared" si="23"/>
        <v>0</v>
      </c>
      <c r="AA80" s="125">
        <f t="shared" si="30"/>
        <v>0</v>
      </c>
      <c r="AB80" s="144">
        <f t="shared" si="31"/>
        <v>1299890</v>
      </c>
      <c r="AC80" s="144">
        <f t="shared" si="36"/>
        <v>1207480.000000001</v>
      </c>
      <c r="AD80" s="144">
        <f t="shared" si="37"/>
        <v>24149.60000000002</v>
      </c>
      <c r="AE80" s="147">
        <f t="shared" si="38"/>
        <v>208.5457685664939</v>
      </c>
      <c r="AF80">
        <f t="shared" si="39"/>
        <v>1.77</v>
      </c>
      <c r="AG80">
        <v>1</v>
      </c>
      <c r="AH80">
        <f t="shared" si="40"/>
        <v>0</v>
      </c>
    </row>
    <row r="81" spans="1:34" ht="13.5" customHeight="1">
      <c r="A81" s="125">
        <f t="shared" si="26"/>
        <v>79</v>
      </c>
      <c r="B81" s="125">
        <f t="shared" si="27"/>
        <v>1115250</v>
      </c>
      <c r="C81" s="129">
        <f>'ルール＆合計'!$F$3</f>
        <v>0.02</v>
      </c>
      <c r="D81" s="128">
        <f t="shared" si="18"/>
        <v>22305</v>
      </c>
      <c r="E81" s="131">
        <v>10000</v>
      </c>
      <c r="F81" s="123" t="s">
        <v>90</v>
      </c>
      <c r="G81" s="113" t="s">
        <v>63</v>
      </c>
      <c r="H81" t="s">
        <v>64</v>
      </c>
      <c r="I81" s="135">
        <v>42039</v>
      </c>
      <c r="J81">
        <v>117.014</v>
      </c>
      <c r="K81" t="s">
        <v>203</v>
      </c>
      <c r="L81">
        <v>117.996</v>
      </c>
      <c r="N81" s="125">
        <f t="shared" si="19"/>
        <v>98.19999999999993</v>
      </c>
      <c r="O81" s="138">
        <f t="shared" si="35"/>
        <v>227.13849287169057</v>
      </c>
      <c r="P81" s="125">
        <f t="shared" si="20"/>
        <v>1.94</v>
      </c>
      <c r="R81" s="123" t="s">
        <v>63</v>
      </c>
      <c r="T81">
        <v>117.014</v>
      </c>
      <c r="U81" t="s">
        <v>246</v>
      </c>
      <c r="V81" s="125" t="str">
        <f t="shared" si="21"/>
        <v>勝ち</v>
      </c>
      <c r="W81" s="125">
        <f t="shared" si="28"/>
        <v>0</v>
      </c>
      <c r="X81" s="126">
        <f t="shared" si="29"/>
        <v>0</v>
      </c>
      <c r="Y81" s="126">
        <f t="shared" si="22"/>
        <v>0</v>
      </c>
      <c r="Z81" s="125">
        <f t="shared" si="23"/>
        <v>0</v>
      </c>
      <c r="AA81" s="125">
        <f t="shared" si="30"/>
        <v>0</v>
      </c>
      <c r="AB81" s="144">
        <f t="shared" si="31"/>
        <v>1299890</v>
      </c>
      <c r="AC81" s="144">
        <f t="shared" si="36"/>
        <v>1207480.000000001</v>
      </c>
      <c r="AD81" s="144">
        <f t="shared" si="37"/>
        <v>24149.60000000002</v>
      </c>
      <c r="AE81" s="147">
        <f t="shared" si="38"/>
        <v>245.92260692464396</v>
      </c>
      <c r="AF81">
        <f t="shared" si="39"/>
        <v>2.1</v>
      </c>
      <c r="AG81">
        <v>1</v>
      </c>
      <c r="AH81">
        <f t="shared" si="40"/>
        <v>0</v>
      </c>
    </row>
    <row r="82" spans="1:34" ht="13.5" customHeight="1">
      <c r="A82" s="125">
        <f t="shared" si="26"/>
        <v>80</v>
      </c>
      <c r="B82" s="125">
        <f t="shared" si="27"/>
        <v>1115250</v>
      </c>
      <c r="C82" s="129">
        <f>'ルール＆合計'!$F$3</f>
        <v>0.02</v>
      </c>
      <c r="D82" s="128">
        <f t="shared" si="18"/>
        <v>22305</v>
      </c>
      <c r="E82" s="131">
        <v>10000</v>
      </c>
      <c r="F82" s="123" t="s">
        <v>90</v>
      </c>
      <c r="G82" s="113" t="s">
        <v>63</v>
      </c>
      <c r="H82" t="s">
        <v>80</v>
      </c>
      <c r="I82" s="135">
        <v>42058</v>
      </c>
      <c r="J82">
        <v>118.734</v>
      </c>
      <c r="K82" t="s">
        <v>248</v>
      </c>
      <c r="L82">
        <v>119.351</v>
      </c>
      <c r="N82" s="125">
        <f t="shared" si="19"/>
        <v>61.70000000000044</v>
      </c>
      <c r="O82" s="138">
        <f t="shared" si="35"/>
        <v>361.50729335494066</v>
      </c>
      <c r="P82" s="125">
        <f t="shared" si="20"/>
        <v>3.04</v>
      </c>
      <c r="R82" s="123" t="s">
        <v>63</v>
      </c>
      <c r="T82">
        <v>118.734</v>
      </c>
      <c r="U82" t="s">
        <v>249</v>
      </c>
      <c r="V82" s="125" t="str">
        <f t="shared" si="21"/>
        <v>負け</v>
      </c>
      <c r="W82" s="125">
        <f t="shared" si="28"/>
        <v>0</v>
      </c>
      <c r="X82" s="126">
        <f t="shared" si="29"/>
        <v>0</v>
      </c>
      <c r="Y82" s="126">
        <f t="shared" si="22"/>
        <v>0</v>
      </c>
      <c r="Z82" s="125">
        <f t="shared" si="23"/>
        <v>0</v>
      </c>
      <c r="AA82" s="125">
        <f t="shared" si="30"/>
        <v>0</v>
      </c>
      <c r="AB82" s="144">
        <f t="shared" si="31"/>
        <v>1299890</v>
      </c>
      <c r="AC82" s="144">
        <f t="shared" si="36"/>
        <v>1207480.000000001</v>
      </c>
      <c r="AD82" s="144">
        <f t="shared" si="37"/>
        <v>24149.60000000002</v>
      </c>
      <c r="AE82" s="147">
        <f t="shared" si="38"/>
        <v>391.403565640192</v>
      </c>
      <c r="AF82">
        <f t="shared" si="39"/>
        <v>3.29</v>
      </c>
      <c r="AG82">
        <v>1</v>
      </c>
      <c r="AH82">
        <f t="shared" si="40"/>
        <v>0</v>
      </c>
    </row>
    <row r="83" spans="1:34" ht="13.5" customHeight="1">
      <c r="A83" s="125">
        <f t="shared" si="26"/>
        <v>81</v>
      </c>
      <c r="B83" s="125">
        <f t="shared" si="27"/>
        <v>1115250</v>
      </c>
      <c r="C83" s="129">
        <f>'ルール＆合計'!$F$3</f>
        <v>0.02</v>
      </c>
      <c r="D83" s="128">
        <f t="shared" si="18"/>
        <v>22305</v>
      </c>
      <c r="E83" s="131">
        <v>10000</v>
      </c>
      <c r="F83" s="123" t="s">
        <v>90</v>
      </c>
      <c r="G83" s="113" t="s">
        <v>63</v>
      </c>
      <c r="H83" t="s">
        <v>80</v>
      </c>
      <c r="I83" s="135">
        <v>42061</v>
      </c>
      <c r="J83">
        <v>119.449</v>
      </c>
      <c r="K83" t="s">
        <v>250</v>
      </c>
      <c r="L83">
        <v>118.675</v>
      </c>
      <c r="N83" s="125">
        <f t="shared" si="19"/>
        <v>77.40000000000009</v>
      </c>
      <c r="O83" s="138">
        <f t="shared" si="35"/>
        <v>288.1782945736431</v>
      </c>
      <c r="P83" s="125">
        <f t="shared" si="20"/>
        <v>2.41</v>
      </c>
      <c r="Q83">
        <v>2</v>
      </c>
      <c r="R83" s="123" t="s">
        <v>63</v>
      </c>
      <c r="S83" s="135">
        <v>42075</v>
      </c>
      <c r="T83">
        <v>120.842</v>
      </c>
      <c r="U83" t="s">
        <v>179</v>
      </c>
      <c r="V83" s="125" t="str">
        <f t="shared" si="21"/>
        <v>勝ち</v>
      </c>
      <c r="W83" s="125">
        <f t="shared" si="28"/>
        <v>1.3930000000000007</v>
      </c>
      <c r="X83" s="126">
        <f t="shared" si="29"/>
        <v>139.30000000000007</v>
      </c>
      <c r="Y83" s="126">
        <f t="shared" si="22"/>
        <v>0</v>
      </c>
      <c r="Z83" s="125">
        <f t="shared" si="23"/>
        <v>13930.000000000007</v>
      </c>
      <c r="AA83" s="125">
        <f t="shared" si="30"/>
        <v>27860.000000000015</v>
      </c>
      <c r="AB83" s="144">
        <f t="shared" si="31"/>
        <v>1299890</v>
      </c>
      <c r="AC83" s="144">
        <f t="shared" si="36"/>
        <v>1207480.000000001</v>
      </c>
      <c r="AD83" s="144">
        <f t="shared" si="37"/>
        <v>24149.60000000002</v>
      </c>
      <c r="AE83" s="147">
        <f t="shared" si="38"/>
        <v>312.01033591731255</v>
      </c>
      <c r="AF83">
        <f t="shared" si="39"/>
        <v>2.61</v>
      </c>
      <c r="AG83">
        <v>1</v>
      </c>
      <c r="AH83">
        <f t="shared" si="40"/>
        <v>13930.000000000007</v>
      </c>
    </row>
    <row r="84" spans="1:34" ht="13.5" customHeight="1">
      <c r="A84" s="125">
        <f t="shared" si="26"/>
        <v>82</v>
      </c>
      <c r="B84" s="125">
        <f t="shared" si="27"/>
        <v>1129180</v>
      </c>
      <c r="C84" s="129">
        <f>'ルール＆合計'!$F$3</f>
        <v>0.02</v>
      </c>
      <c r="D84" s="128">
        <f t="shared" si="18"/>
        <v>22583.600000000002</v>
      </c>
      <c r="E84" s="131">
        <v>10000</v>
      </c>
      <c r="F84" s="123" t="s">
        <v>90</v>
      </c>
      <c r="G84" s="113" t="s">
        <v>63</v>
      </c>
      <c r="H84" t="s">
        <v>80</v>
      </c>
      <c r="I84" s="135">
        <v>42074</v>
      </c>
      <c r="J84">
        <v>121.623</v>
      </c>
      <c r="K84" t="s">
        <v>250</v>
      </c>
      <c r="L84">
        <v>120.842</v>
      </c>
      <c r="N84" s="125">
        <f t="shared" si="19"/>
        <v>78.10000000000059</v>
      </c>
      <c r="O84" s="138">
        <f t="shared" si="35"/>
        <v>289.1626120358493</v>
      </c>
      <c r="P84" s="125">
        <f t="shared" si="20"/>
        <v>2.37</v>
      </c>
      <c r="R84" s="123" t="s">
        <v>63</v>
      </c>
      <c r="T84">
        <v>121.623</v>
      </c>
      <c r="U84" t="s">
        <v>251</v>
      </c>
      <c r="V84" s="125" t="str">
        <f t="shared" si="21"/>
        <v>負け</v>
      </c>
      <c r="W84" s="125">
        <f t="shared" si="28"/>
        <v>0</v>
      </c>
      <c r="X84" s="126">
        <f t="shared" si="29"/>
        <v>0</v>
      </c>
      <c r="Y84" s="126">
        <f t="shared" si="22"/>
        <v>0</v>
      </c>
      <c r="Z84" s="125">
        <f t="shared" si="23"/>
        <v>0</v>
      </c>
      <c r="AA84" s="125">
        <f t="shared" si="30"/>
        <v>0</v>
      </c>
      <c r="AB84" s="144">
        <f t="shared" si="31"/>
        <v>1327750</v>
      </c>
      <c r="AC84" s="144">
        <f t="shared" si="36"/>
        <v>1221410.000000001</v>
      </c>
      <c r="AD84" s="144">
        <f t="shared" si="37"/>
        <v>24428.20000000002</v>
      </c>
      <c r="AE84" s="147">
        <f t="shared" si="38"/>
        <v>312.78104993597736</v>
      </c>
      <c r="AF84">
        <f t="shared" si="39"/>
        <v>2.57</v>
      </c>
      <c r="AG84">
        <v>1</v>
      </c>
      <c r="AH84">
        <f t="shared" si="40"/>
        <v>0</v>
      </c>
    </row>
    <row r="85" spans="1:37" ht="13.5" customHeight="1">
      <c r="A85" s="125">
        <f t="shared" si="26"/>
        <v>83</v>
      </c>
      <c r="B85" s="125">
        <f t="shared" si="27"/>
        <v>1129180</v>
      </c>
      <c r="C85" s="129">
        <f>'ルール＆合計'!$F$3</f>
        <v>0.02</v>
      </c>
      <c r="D85" s="128">
        <f t="shared" si="18"/>
        <v>22583.600000000002</v>
      </c>
      <c r="E85" s="131">
        <v>10000</v>
      </c>
      <c r="F85" s="123" t="s">
        <v>90</v>
      </c>
      <c r="G85" s="113" t="s">
        <v>63</v>
      </c>
      <c r="H85" t="s">
        <v>64</v>
      </c>
      <c r="I85" s="135">
        <v>42083</v>
      </c>
      <c r="J85">
        <v>119.896</v>
      </c>
      <c r="K85" t="s">
        <v>203</v>
      </c>
      <c r="L85">
        <v>121.197</v>
      </c>
      <c r="N85" s="125">
        <f t="shared" si="19"/>
        <v>130.1000000000002</v>
      </c>
      <c r="O85" s="138">
        <f t="shared" si="35"/>
        <v>173.58647194465772</v>
      </c>
      <c r="P85" s="125">
        <f t="shared" si="20"/>
        <v>1.44</v>
      </c>
      <c r="Q85">
        <v>1</v>
      </c>
      <c r="R85" s="123" t="s">
        <v>63</v>
      </c>
      <c r="S85" s="135">
        <v>42093</v>
      </c>
      <c r="T85">
        <v>119.98</v>
      </c>
      <c r="U85" t="s">
        <v>252</v>
      </c>
      <c r="V85" s="125" t="str">
        <f t="shared" si="21"/>
        <v>負け</v>
      </c>
      <c r="W85" s="125">
        <f t="shared" si="28"/>
        <v>0.08400000000000318</v>
      </c>
      <c r="X85" s="126">
        <f t="shared" si="29"/>
        <v>0</v>
      </c>
      <c r="Y85" s="126">
        <f t="shared" si="22"/>
        <v>8.400000000000318</v>
      </c>
      <c r="Z85" s="125">
        <f t="shared" si="23"/>
        <v>-840.0000000000318</v>
      </c>
      <c r="AA85" s="125">
        <f t="shared" si="30"/>
        <v>-840.0000000000318</v>
      </c>
      <c r="AB85" s="144">
        <f t="shared" si="31"/>
        <v>1327750</v>
      </c>
      <c r="AC85" s="144">
        <f t="shared" si="36"/>
        <v>1221410.000000001</v>
      </c>
      <c r="AD85" s="144">
        <f t="shared" si="37"/>
        <v>24428.20000000002</v>
      </c>
      <c r="AE85" s="147">
        <f t="shared" si="38"/>
        <v>187.76479631053022</v>
      </c>
      <c r="AF85">
        <f t="shared" si="39"/>
        <v>1.56</v>
      </c>
      <c r="AG85">
        <v>1</v>
      </c>
      <c r="AH85">
        <f t="shared" si="40"/>
        <v>-840.0000000000318</v>
      </c>
      <c r="AJ85" t="s">
        <v>264</v>
      </c>
      <c r="AK85" t="s">
        <v>263</v>
      </c>
    </row>
    <row r="86" spans="1:37" ht="13.5" customHeight="1">
      <c r="A86" s="125">
        <f t="shared" si="26"/>
        <v>84</v>
      </c>
      <c r="B86" s="125">
        <f t="shared" si="27"/>
        <v>1128340</v>
      </c>
      <c r="C86" s="129">
        <f>'ルール＆合計'!$F$3</f>
        <v>0.02</v>
      </c>
      <c r="D86" s="128">
        <f t="shared" si="18"/>
        <v>22566.8</v>
      </c>
      <c r="E86" s="131">
        <v>10000</v>
      </c>
      <c r="F86" s="123" t="s">
        <v>90</v>
      </c>
      <c r="G86" s="113" t="s">
        <v>63</v>
      </c>
      <c r="H86" t="s">
        <v>64</v>
      </c>
      <c r="I86" s="135">
        <v>42097</v>
      </c>
      <c r="J86">
        <v>118.92</v>
      </c>
      <c r="K86" t="s">
        <v>253</v>
      </c>
      <c r="L86">
        <v>119.917</v>
      </c>
      <c r="N86" s="125">
        <f t="shared" si="19"/>
        <v>99.69999999999999</v>
      </c>
      <c r="O86" s="138">
        <f t="shared" si="35"/>
        <v>226.34704112337013</v>
      </c>
      <c r="P86" s="125">
        <f t="shared" si="20"/>
        <v>1.9</v>
      </c>
      <c r="R86" s="123" t="s">
        <v>63</v>
      </c>
      <c r="T86">
        <v>118.92</v>
      </c>
      <c r="U86" t="s">
        <v>214</v>
      </c>
      <c r="V86" s="125" t="str">
        <f t="shared" si="21"/>
        <v>勝ち</v>
      </c>
      <c r="W86" s="125">
        <f t="shared" si="28"/>
        <v>0</v>
      </c>
      <c r="X86" s="126">
        <f t="shared" si="29"/>
        <v>0</v>
      </c>
      <c r="Y86" s="126">
        <f t="shared" si="22"/>
        <v>0</v>
      </c>
      <c r="Z86" s="125">
        <f t="shared" si="23"/>
        <v>0</v>
      </c>
      <c r="AA86" s="125">
        <f t="shared" si="30"/>
        <v>0</v>
      </c>
      <c r="AB86" s="144">
        <f t="shared" si="31"/>
        <v>1326910</v>
      </c>
      <c r="AC86" s="144">
        <f t="shared" si="36"/>
        <v>1220570.000000001</v>
      </c>
      <c r="AD86" s="144">
        <f t="shared" si="37"/>
        <v>24411.40000000002</v>
      </c>
      <c r="AE86" s="147">
        <f t="shared" si="38"/>
        <v>244.84854563691096</v>
      </c>
      <c r="AF86">
        <f t="shared" si="39"/>
        <v>2.05</v>
      </c>
      <c r="AG86">
        <v>1</v>
      </c>
      <c r="AH86">
        <f t="shared" si="40"/>
        <v>0</v>
      </c>
      <c r="AI86" t="s">
        <v>241</v>
      </c>
      <c r="AJ86">
        <f>SUMIF(AA76:AA90,"&gt;0")</f>
        <v>27860.000000000015</v>
      </c>
      <c r="AK86">
        <f>SUMIF(AA76:AA90,"&lt;0")</f>
        <v>-19830.000000000186</v>
      </c>
    </row>
    <row r="87" spans="1:37" ht="13.5" customHeight="1">
      <c r="A87" s="125">
        <f t="shared" si="26"/>
        <v>85</v>
      </c>
      <c r="B87" s="125">
        <f t="shared" si="27"/>
        <v>1128340</v>
      </c>
      <c r="C87" s="129">
        <f>'ルール＆合計'!$F$3</f>
        <v>0.02</v>
      </c>
      <c r="D87" s="128">
        <f t="shared" si="18"/>
        <v>22566.8</v>
      </c>
      <c r="E87" s="131">
        <v>10000</v>
      </c>
      <c r="F87" s="123" t="s">
        <v>90</v>
      </c>
      <c r="G87" s="113" t="s">
        <v>63</v>
      </c>
      <c r="H87" t="s">
        <v>80</v>
      </c>
      <c r="I87" s="135">
        <v>42117</v>
      </c>
      <c r="J87">
        <v>119.424</v>
      </c>
      <c r="K87" t="s">
        <v>248</v>
      </c>
      <c r="L87">
        <v>120.093</v>
      </c>
      <c r="N87" s="125">
        <f t="shared" si="19"/>
        <v>66.8999999999997</v>
      </c>
      <c r="O87" s="138">
        <f t="shared" si="35"/>
        <v>337.3213751868476</v>
      </c>
      <c r="P87" s="125">
        <f t="shared" si="20"/>
        <v>2.82</v>
      </c>
      <c r="R87" s="123" t="s">
        <v>63</v>
      </c>
      <c r="T87">
        <v>119.424</v>
      </c>
      <c r="U87" t="s">
        <v>254</v>
      </c>
      <c r="V87" s="125" t="str">
        <f t="shared" si="21"/>
        <v>負け</v>
      </c>
      <c r="W87" s="125">
        <f t="shared" si="28"/>
        <v>0</v>
      </c>
      <c r="X87" s="126">
        <f t="shared" si="29"/>
        <v>0</v>
      </c>
      <c r="Y87" s="126">
        <f t="shared" si="22"/>
        <v>0</v>
      </c>
      <c r="Z87" s="125">
        <f t="shared" si="23"/>
        <v>0</v>
      </c>
      <c r="AA87" s="125">
        <f t="shared" si="30"/>
        <v>0</v>
      </c>
      <c r="AB87" s="144">
        <f t="shared" si="31"/>
        <v>1326910</v>
      </c>
      <c r="AC87" s="144">
        <f t="shared" si="36"/>
        <v>1220570.000000001</v>
      </c>
      <c r="AD87" s="144">
        <f t="shared" si="37"/>
        <v>24411.40000000002</v>
      </c>
      <c r="AE87" s="147">
        <f t="shared" si="38"/>
        <v>364.89387144992725</v>
      </c>
      <c r="AF87">
        <f t="shared" si="39"/>
        <v>3.05</v>
      </c>
      <c r="AG87">
        <v>1</v>
      </c>
      <c r="AH87">
        <f t="shared" si="40"/>
        <v>0</v>
      </c>
      <c r="AI87" t="s">
        <v>260</v>
      </c>
      <c r="AJ87">
        <f>COUNTIF(AA76:AA90,"&gt;0")</f>
        <v>1</v>
      </c>
      <c r="AK87">
        <f>COUNTIF(AA76:AA90,"&lt;0")</f>
        <v>3</v>
      </c>
    </row>
    <row r="88" spans="1:34" ht="13.5" customHeight="1">
      <c r="A88" s="125">
        <f t="shared" si="26"/>
        <v>86</v>
      </c>
      <c r="B88" s="125">
        <f t="shared" si="27"/>
        <v>1128340</v>
      </c>
      <c r="C88" s="129">
        <f>'ルール＆合計'!$F$3</f>
        <v>0.02</v>
      </c>
      <c r="D88" s="128">
        <f t="shared" si="18"/>
        <v>22566.8</v>
      </c>
      <c r="E88" s="131">
        <v>10000</v>
      </c>
      <c r="F88" s="123" t="s">
        <v>90</v>
      </c>
      <c r="G88" s="113" t="s">
        <v>63</v>
      </c>
      <c r="H88" t="s">
        <v>64</v>
      </c>
      <c r="I88" s="135">
        <v>42186</v>
      </c>
      <c r="J88">
        <v>123.231</v>
      </c>
      <c r="K88" t="s">
        <v>201</v>
      </c>
      <c r="L88">
        <v>122.348</v>
      </c>
      <c r="N88" s="125">
        <f t="shared" si="19"/>
        <v>88.29999999999956</v>
      </c>
      <c r="O88" s="138">
        <f t="shared" si="35"/>
        <v>255.56964892412358</v>
      </c>
      <c r="P88" s="125">
        <f t="shared" si="20"/>
        <v>2.07</v>
      </c>
      <c r="R88" s="123" t="s">
        <v>63</v>
      </c>
      <c r="T88">
        <v>123.231</v>
      </c>
      <c r="U88" t="s">
        <v>202</v>
      </c>
      <c r="V88" s="125" t="str">
        <f t="shared" si="21"/>
        <v>勝ち</v>
      </c>
      <c r="W88" s="125">
        <f t="shared" si="28"/>
        <v>0</v>
      </c>
      <c r="X88" s="126">
        <f t="shared" si="29"/>
        <v>0</v>
      </c>
      <c r="Y88" s="126">
        <f t="shared" si="22"/>
        <v>0</v>
      </c>
      <c r="Z88" s="125">
        <f t="shared" si="23"/>
        <v>0</v>
      </c>
      <c r="AA88" s="125">
        <f t="shared" si="30"/>
        <v>0</v>
      </c>
      <c r="AB88" s="144">
        <f t="shared" si="31"/>
        <v>1326910</v>
      </c>
      <c r="AC88" s="144">
        <f t="shared" si="36"/>
        <v>1220570.000000001</v>
      </c>
      <c r="AD88" s="144">
        <f t="shared" si="37"/>
        <v>24411.40000000002</v>
      </c>
      <c r="AE88" s="147">
        <f t="shared" si="38"/>
        <v>276.459796149492</v>
      </c>
      <c r="AF88">
        <f t="shared" si="39"/>
        <v>2.24</v>
      </c>
      <c r="AG88">
        <v>1</v>
      </c>
      <c r="AH88">
        <f t="shared" si="40"/>
        <v>0</v>
      </c>
    </row>
    <row r="89" spans="1:34" ht="13.5" customHeight="1">
      <c r="A89" s="125">
        <f t="shared" si="26"/>
        <v>87</v>
      </c>
      <c r="B89" s="125">
        <f t="shared" si="27"/>
        <v>1128340</v>
      </c>
      <c r="C89" s="129">
        <f>'ルール＆合計'!$F$3</f>
        <v>0.02</v>
      </c>
      <c r="D89" s="128">
        <f t="shared" si="18"/>
        <v>22566.8</v>
      </c>
      <c r="E89" s="131">
        <v>10000</v>
      </c>
      <c r="F89" s="123" t="s">
        <v>90</v>
      </c>
      <c r="G89" s="113" t="s">
        <v>63</v>
      </c>
      <c r="H89" t="s">
        <v>80</v>
      </c>
      <c r="I89" s="135">
        <v>42200</v>
      </c>
      <c r="J89">
        <v>123.968</v>
      </c>
      <c r="K89" t="s">
        <v>255</v>
      </c>
      <c r="L89">
        <v>123.259</v>
      </c>
      <c r="N89" s="125">
        <f t="shared" si="19"/>
        <v>70.90000000000032</v>
      </c>
      <c r="O89" s="138">
        <f t="shared" si="35"/>
        <v>318.2905500705204</v>
      </c>
      <c r="P89" s="125">
        <f t="shared" si="20"/>
        <v>2.56</v>
      </c>
      <c r="Q89">
        <v>2</v>
      </c>
      <c r="R89" s="123" t="s">
        <v>63</v>
      </c>
      <c r="S89" s="135">
        <v>42206</v>
      </c>
      <c r="T89">
        <v>123.94</v>
      </c>
      <c r="U89" t="s">
        <v>179</v>
      </c>
      <c r="V89" s="125" t="str">
        <f t="shared" si="21"/>
        <v>負け</v>
      </c>
      <c r="W89" s="125">
        <f t="shared" si="28"/>
        <v>-0.028000000000005798</v>
      </c>
      <c r="X89" s="126">
        <f t="shared" si="29"/>
        <v>0</v>
      </c>
      <c r="Y89" s="126">
        <f t="shared" si="22"/>
        <v>-2.80000000000058</v>
      </c>
      <c r="Z89" s="125">
        <f t="shared" si="23"/>
        <v>-280.000000000058</v>
      </c>
      <c r="AA89" s="125">
        <f t="shared" si="30"/>
        <v>-560.000000000116</v>
      </c>
      <c r="AB89" s="144">
        <f t="shared" si="31"/>
        <v>1326910</v>
      </c>
      <c r="AC89" s="144">
        <f t="shared" si="36"/>
        <v>1220570.000000001</v>
      </c>
      <c r="AD89" s="144">
        <f t="shared" si="37"/>
        <v>24411.40000000002</v>
      </c>
      <c r="AE89" s="147">
        <f t="shared" si="38"/>
        <v>344.3074753173471</v>
      </c>
      <c r="AF89">
        <f t="shared" si="39"/>
        <v>2.77</v>
      </c>
      <c r="AG89">
        <v>1</v>
      </c>
      <c r="AH89">
        <f t="shared" si="40"/>
        <v>-280.000000000058</v>
      </c>
    </row>
    <row r="90" spans="1:34" ht="13.5" customHeight="1">
      <c r="A90" s="125">
        <f t="shared" si="26"/>
        <v>88</v>
      </c>
      <c r="B90" s="125">
        <f t="shared" si="27"/>
        <v>1128060</v>
      </c>
      <c r="C90" s="129">
        <f>'ルール＆合計'!$F$3</f>
        <v>0.02</v>
      </c>
      <c r="D90" s="128">
        <f t="shared" si="18"/>
        <v>22561.2</v>
      </c>
      <c r="E90" s="131">
        <v>10000</v>
      </c>
      <c r="F90" s="123" t="s">
        <v>90</v>
      </c>
      <c r="G90" s="113" t="s">
        <v>63</v>
      </c>
      <c r="H90" t="s">
        <v>80</v>
      </c>
      <c r="I90" s="135">
        <v>42206</v>
      </c>
      <c r="J90">
        <v>123.758</v>
      </c>
      <c r="K90" t="s">
        <v>256</v>
      </c>
      <c r="L90">
        <v>124.473</v>
      </c>
      <c r="N90" s="125">
        <f t="shared" si="19"/>
        <v>71.50000000000034</v>
      </c>
      <c r="O90" s="138">
        <f t="shared" si="35"/>
        <v>315.54125874125725</v>
      </c>
      <c r="P90" s="125">
        <f t="shared" si="20"/>
        <v>2.54</v>
      </c>
      <c r="R90" s="123" t="s">
        <v>63</v>
      </c>
      <c r="T90">
        <v>123.758</v>
      </c>
      <c r="U90" t="s">
        <v>257</v>
      </c>
      <c r="V90" s="125" t="str">
        <f t="shared" si="21"/>
        <v>負け</v>
      </c>
      <c r="W90" s="125">
        <f t="shared" si="28"/>
        <v>0</v>
      </c>
      <c r="X90" s="126">
        <f t="shared" si="29"/>
        <v>0</v>
      </c>
      <c r="Y90" s="126">
        <f t="shared" si="22"/>
        <v>0</v>
      </c>
      <c r="Z90" s="125">
        <f t="shared" si="23"/>
        <v>0</v>
      </c>
      <c r="AA90" s="125">
        <f t="shared" si="30"/>
        <v>0</v>
      </c>
      <c r="AB90" s="144">
        <f t="shared" si="31"/>
        <v>1326350</v>
      </c>
      <c r="AC90" s="144">
        <f t="shared" si="36"/>
        <v>1220290.000000001</v>
      </c>
      <c r="AD90" s="144">
        <f t="shared" si="37"/>
        <v>24405.800000000017</v>
      </c>
      <c r="AE90" s="147">
        <f t="shared" si="38"/>
        <v>341.33986013985873</v>
      </c>
      <c r="AF90">
        <f t="shared" si="39"/>
        <v>2.75</v>
      </c>
      <c r="AG90">
        <v>1</v>
      </c>
      <c r="AH90">
        <f t="shared" si="40"/>
        <v>0</v>
      </c>
    </row>
    <row r="91" spans="1:31" ht="13.5" customHeight="1">
      <c r="A91" s="125">
        <f t="shared" si="26"/>
        <v>89</v>
      </c>
      <c r="B91" s="125">
        <f t="shared" si="27"/>
        <v>1128060</v>
      </c>
      <c r="C91" s="129">
        <f>'ルール＆合計'!$F$3</f>
        <v>0.02</v>
      </c>
      <c r="D91" s="128">
        <f t="shared" si="18"/>
        <v>22561.2</v>
      </c>
      <c r="E91" s="131">
        <v>10000</v>
      </c>
      <c r="F91" s="123" t="s">
        <v>90</v>
      </c>
      <c r="G91" s="113" t="s">
        <v>63</v>
      </c>
      <c r="I91" s="135"/>
      <c r="N91" s="125">
        <f t="shared" si="19"/>
      </c>
      <c r="O91" s="138">
        <f t="shared" si="35"/>
      </c>
      <c r="P91" s="125">
        <f t="shared" si="20"/>
      </c>
      <c r="R91" s="123" t="s">
        <v>63</v>
      </c>
      <c r="V91" s="125">
        <f t="shared" si="21"/>
      </c>
      <c r="W91" s="125">
        <f t="shared" si="28"/>
      </c>
      <c r="X91" s="126">
        <f t="shared" si="29"/>
      </c>
      <c r="Y91" s="126">
        <f t="shared" si="22"/>
      </c>
      <c r="Z91" s="125">
        <f t="shared" si="23"/>
      </c>
      <c r="AA91" s="125">
        <f t="shared" si="30"/>
      </c>
      <c r="AB91" s="144"/>
      <c r="AC91" s="144"/>
      <c r="AD91" s="144"/>
      <c r="AE91" s="147"/>
    </row>
    <row r="92" spans="1:34" ht="13.5" customHeight="1">
      <c r="A92" s="125">
        <f t="shared" si="26"/>
        <v>90</v>
      </c>
      <c r="B92" s="125">
        <f t="shared" si="27"/>
      </c>
      <c r="C92" s="129">
        <f>'ルール＆合計'!$F$3</f>
        <v>0.02</v>
      </c>
      <c r="D92" s="128" t="e">
        <f t="shared" si="18"/>
        <v>#VALUE!</v>
      </c>
      <c r="E92" s="131">
        <v>10000</v>
      </c>
      <c r="F92" s="123" t="s">
        <v>90</v>
      </c>
      <c r="I92" s="135"/>
      <c r="N92" s="125">
        <f t="shared" si="19"/>
      </c>
      <c r="P92" s="125">
        <f t="shared" si="20"/>
      </c>
      <c r="V92" s="125">
        <f t="shared" si="21"/>
      </c>
      <c r="W92" s="125">
        <f t="shared" si="28"/>
      </c>
      <c r="X92" s="126">
        <f t="shared" si="29"/>
      </c>
      <c r="Y92" s="126">
        <f t="shared" si="22"/>
      </c>
      <c r="Z92" s="125">
        <f t="shared" si="23"/>
      </c>
      <c r="AA92" s="125"/>
      <c r="AH92">
        <f>88-COUNTIF(AH3:AH90,0)</f>
        <v>21</v>
      </c>
    </row>
    <row r="93" spans="1:27" ht="13.5" customHeight="1">
      <c r="A93" s="125">
        <f t="shared" si="26"/>
        <v>91</v>
      </c>
      <c r="B93" s="125">
        <f t="shared" si="27"/>
      </c>
      <c r="C93" s="129">
        <f>'ルール＆合計'!$F$3</f>
        <v>0.02</v>
      </c>
      <c r="D93" s="128" t="e">
        <f t="shared" si="18"/>
        <v>#VALUE!</v>
      </c>
      <c r="E93" s="131">
        <v>10000</v>
      </c>
      <c r="F93" s="123" t="s">
        <v>90</v>
      </c>
      <c r="I93" s="135"/>
      <c r="N93" s="125">
        <f t="shared" si="19"/>
      </c>
      <c r="P93" s="125">
        <f t="shared" si="20"/>
      </c>
      <c r="V93" s="125">
        <f t="shared" si="21"/>
      </c>
      <c r="W93" s="125">
        <f t="shared" si="28"/>
      </c>
      <c r="X93" s="126">
        <f t="shared" si="29"/>
      </c>
      <c r="Y93" s="126">
        <f t="shared" si="22"/>
      </c>
      <c r="Z93" s="125">
        <f t="shared" si="23"/>
      </c>
      <c r="AA93" s="125"/>
    </row>
    <row r="94" spans="1:27" ht="13.5" customHeight="1">
      <c r="A94" s="125">
        <f t="shared" si="26"/>
        <v>92</v>
      </c>
      <c r="B94" s="125">
        <f t="shared" si="27"/>
      </c>
      <c r="C94" s="129">
        <f>'ルール＆合計'!$F$3</f>
        <v>0.02</v>
      </c>
      <c r="D94" s="128" t="e">
        <f t="shared" si="18"/>
        <v>#VALUE!</v>
      </c>
      <c r="E94" s="131">
        <v>10000</v>
      </c>
      <c r="F94" s="123" t="s">
        <v>90</v>
      </c>
      <c r="I94" s="135"/>
      <c r="N94" s="125">
        <f t="shared" si="19"/>
      </c>
      <c r="P94" s="125">
        <f t="shared" si="20"/>
      </c>
      <c r="V94" s="125">
        <f t="shared" si="21"/>
      </c>
      <c r="W94" s="125">
        <f t="shared" si="28"/>
      </c>
      <c r="X94" s="126">
        <f t="shared" si="29"/>
      </c>
      <c r="Y94" s="126">
        <f t="shared" si="22"/>
      </c>
      <c r="Z94" s="125">
        <f t="shared" si="23"/>
      </c>
      <c r="AA94" s="125"/>
    </row>
    <row r="95" spans="1:27" ht="13.5" customHeight="1">
      <c r="A95" s="125">
        <f t="shared" si="26"/>
        <v>93</v>
      </c>
      <c r="B95" s="125">
        <f t="shared" si="27"/>
      </c>
      <c r="C95" s="129">
        <f>'ルール＆合計'!$F$3</f>
        <v>0.02</v>
      </c>
      <c r="D95" s="128" t="e">
        <f t="shared" si="18"/>
        <v>#VALUE!</v>
      </c>
      <c r="E95" s="131">
        <v>10000</v>
      </c>
      <c r="F95" s="123" t="s">
        <v>90</v>
      </c>
      <c r="I95" s="135"/>
      <c r="N95" s="125">
        <f t="shared" si="19"/>
      </c>
      <c r="P95" s="125">
        <f t="shared" si="20"/>
      </c>
      <c r="V95" s="125">
        <f t="shared" si="21"/>
      </c>
      <c r="W95" s="125">
        <f t="shared" si="28"/>
      </c>
      <c r="X95" s="126">
        <f t="shared" si="29"/>
      </c>
      <c r="Y95" s="126">
        <f t="shared" si="22"/>
      </c>
      <c r="Z95" s="125">
        <f t="shared" si="23"/>
      </c>
      <c r="AA95" s="125"/>
    </row>
    <row r="96" spans="1:27" ht="13.5" customHeight="1">
      <c r="A96" s="125">
        <f t="shared" si="26"/>
        <v>94</v>
      </c>
      <c r="B96" s="125">
        <f t="shared" si="27"/>
      </c>
      <c r="C96" s="129">
        <f>'ルール＆合計'!$F$3</f>
        <v>0.02</v>
      </c>
      <c r="D96" s="128" t="e">
        <f t="shared" si="18"/>
        <v>#VALUE!</v>
      </c>
      <c r="E96" s="131">
        <v>10000</v>
      </c>
      <c r="F96" s="123" t="s">
        <v>90</v>
      </c>
      <c r="I96" s="135"/>
      <c r="N96" s="125">
        <f t="shared" si="19"/>
      </c>
      <c r="P96" s="125">
        <f t="shared" si="20"/>
      </c>
      <c r="V96" s="125">
        <f t="shared" si="21"/>
      </c>
      <c r="W96" s="125">
        <f t="shared" si="28"/>
      </c>
      <c r="X96" s="126">
        <f t="shared" si="29"/>
      </c>
      <c r="Y96" s="126">
        <f t="shared" si="22"/>
      </c>
      <c r="Z96" s="125">
        <f t="shared" si="23"/>
      </c>
      <c r="AA96" s="125"/>
    </row>
    <row r="97" spans="1:27" ht="13.5" customHeight="1">
      <c r="A97" s="125">
        <f t="shared" si="26"/>
        <v>95</v>
      </c>
      <c r="B97" s="125">
        <f t="shared" si="27"/>
      </c>
      <c r="C97" s="129">
        <f>'ルール＆合計'!$F$3</f>
        <v>0.02</v>
      </c>
      <c r="D97" s="128" t="e">
        <f t="shared" si="18"/>
        <v>#VALUE!</v>
      </c>
      <c r="E97" s="131">
        <v>10000</v>
      </c>
      <c r="F97" s="123" t="s">
        <v>90</v>
      </c>
      <c r="I97" s="135"/>
      <c r="N97" s="125">
        <f t="shared" si="19"/>
      </c>
      <c r="P97" s="125">
        <f t="shared" si="20"/>
      </c>
      <c r="V97" s="125">
        <f t="shared" si="21"/>
      </c>
      <c r="W97" s="125">
        <f t="shared" si="28"/>
      </c>
      <c r="X97" s="126">
        <f t="shared" si="29"/>
      </c>
      <c r="Y97" s="126">
        <f t="shared" si="22"/>
      </c>
      <c r="Z97" s="125">
        <f t="shared" si="23"/>
      </c>
      <c r="AA97" s="125"/>
    </row>
    <row r="98" spans="1:27" ht="13.5" customHeight="1">
      <c r="A98" s="125">
        <f t="shared" si="26"/>
      </c>
      <c r="B98" s="125">
        <f t="shared" si="27"/>
      </c>
      <c r="C98" s="129">
        <f>'ルール＆合計'!$F$3</f>
        <v>0.02</v>
      </c>
      <c r="D98" s="128" t="e">
        <f t="shared" si="18"/>
        <v>#VALUE!</v>
      </c>
      <c r="N98" s="125">
        <f t="shared" si="19"/>
      </c>
      <c r="P98" s="125">
        <f t="shared" si="20"/>
      </c>
      <c r="V98" s="125">
        <f t="shared" si="21"/>
      </c>
      <c r="W98" s="125">
        <f t="shared" si="28"/>
      </c>
      <c r="X98" s="126">
        <f t="shared" si="29"/>
      </c>
      <c r="Y98" s="126">
        <f t="shared" si="22"/>
      </c>
      <c r="Z98" s="125">
        <f t="shared" si="23"/>
      </c>
      <c r="AA98" s="125"/>
    </row>
    <row r="99" spans="1:27" ht="13.5" customHeight="1">
      <c r="A99" s="125">
        <f t="shared" si="26"/>
      </c>
      <c r="B99" s="125">
        <f t="shared" si="27"/>
      </c>
      <c r="C99" s="129">
        <f>'ルール＆合計'!$F$3</f>
        <v>0.02</v>
      </c>
      <c r="D99" s="128" t="e">
        <f t="shared" si="18"/>
        <v>#VALUE!</v>
      </c>
      <c r="N99" s="125">
        <f t="shared" si="19"/>
      </c>
      <c r="P99" s="125">
        <f t="shared" si="20"/>
      </c>
      <c r="V99" s="125">
        <f t="shared" si="21"/>
      </c>
      <c r="W99" s="125">
        <f t="shared" si="28"/>
      </c>
      <c r="X99" s="126">
        <f t="shared" si="29"/>
      </c>
      <c r="Y99" s="126">
        <f t="shared" si="22"/>
      </c>
      <c r="Z99" s="125">
        <f t="shared" si="23"/>
      </c>
      <c r="AA99" s="125"/>
    </row>
    <row r="100" spans="1:27" ht="13.5" customHeight="1">
      <c r="A100" s="125">
        <f t="shared" si="26"/>
      </c>
      <c r="B100" s="125">
        <f t="shared" si="27"/>
      </c>
      <c r="C100" s="129">
        <f>'ルール＆合計'!$F$3</f>
        <v>0.02</v>
      </c>
      <c r="D100" s="128" t="e">
        <f t="shared" si="18"/>
        <v>#VALUE!</v>
      </c>
      <c r="N100" s="125">
        <f t="shared" si="19"/>
      </c>
      <c r="P100" s="125">
        <f t="shared" si="20"/>
      </c>
      <c r="V100" s="125">
        <f t="shared" si="21"/>
      </c>
      <c r="W100" s="125">
        <f t="shared" si="28"/>
      </c>
      <c r="X100" s="126">
        <f t="shared" si="29"/>
      </c>
      <c r="Y100" s="126">
        <f t="shared" si="22"/>
      </c>
      <c r="Z100" s="125">
        <f t="shared" si="23"/>
      </c>
      <c r="AA100" s="125"/>
    </row>
    <row r="101" spans="1:27" ht="13.5" customHeight="1">
      <c r="A101" s="125">
        <f t="shared" si="26"/>
      </c>
      <c r="B101" s="125">
        <f t="shared" si="27"/>
      </c>
      <c r="C101" s="129">
        <f>'ルール＆合計'!$F$3</f>
        <v>0.02</v>
      </c>
      <c r="D101" s="128" t="e">
        <f t="shared" si="18"/>
        <v>#VALUE!</v>
      </c>
      <c r="N101" s="125">
        <f t="shared" si="19"/>
      </c>
      <c r="P101" s="125">
        <f t="shared" si="20"/>
      </c>
      <c r="V101" s="125">
        <f t="shared" si="21"/>
      </c>
      <c r="W101" s="125">
        <f t="shared" si="28"/>
      </c>
      <c r="X101" s="126">
        <f t="shared" si="29"/>
      </c>
      <c r="Y101" s="126">
        <f t="shared" si="22"/>
      </c>
      <c r="Z101" s="125">
        <f t="shared" si="23"/>
      </c>
      <c r="AA101" s="125"/>
    </row>
    <row r="102" spans="1:27" ht="13.5" customHeight="1">
      <c r="A102" s="125">
        <f t="shared" si="26"/>
      </c>
      <c r="B102" s="125">
        <f t="shared" si="27"/>
      </c>
      <c r="C102" s="129">
        <f>'ルール＆合計'!$F$3</f>
        <v>0.02</v>
      </c>
      <c r="D102" s="128" t="e">
        <f t="shared" si="18"/>
        <v>#VALUE!</v>
      </c>
      <c r="N102" s="125">
        <f t="shared" si="19"/>
      </c>
      <c r="P102" s="125">
        <f t="shared" si="20"/>
      </c>
      <c r="V102" s="125">
        <f t="shared" si="21"/>
      </c>
      <c r="W102" s="125">
        <f t="shared" si="28"/>
      </c>
      <c r="X102" s="126">
        <f t="shared" si="29"/>
      </c>
      <c r="Y102" s="126">
        <f t="shared" si="22"/>
      </c>
      <c r="Z102" s="125">
        <f t="shared" si="23"/>
      </c>
      <c r="AA102" s="125"/>
    </row>
    <row r="103" spans="1:27" ht="13.5" customHeight="1">
      <c r="A103" s="125">
        <f t="shared" si="26"/>
      </c>
      <c r="B103" s="125">
        <f t="shared" si="27"/>
      </c>
      <c r="C103" s="129">
        <f>'ルール＆合計'!$F$3</f>
        <v>0.02</v>
      </c>
      <c r="D103" s="128" t="e">
        <f t="shared" si="18"/>
        <v>#VALUE!</v>
      </c>
      <c r="N103" s="125">
        <f t="shared" si="19"/>
      </c>
      <c r="P103" s="125">
        <f t="shared" si="20"/>
      </c>
      <c r="V103" s="125">
        <f t="shared" si="21"/>
      </c>
      <c r="W103" s="125">
        <f t="shared" si="28"/>
      </c>
      <c r="X103" s="126">
        <f t="shared" si="29"/>
      </c>
      <c r="Y103" s="126">
        <f t="shared" si="22"/>
      </c>
      <c r="Z103" s="125">
        <f t="shared" si="23"/>
      </c>
      <c r="AA103" s="125"/>
    </row>
    <row r="104" spans="1:27" ht="13.5" customHeight="1">
      <c r="A104" s="125">
        <f t="shared" si="26"/>
      </c>
      <c r="B104" s="125">
        <f t="shared" si="27"/>
      </c>
      <c r="C104" s="129">
        <f>'ルール＆合計'!$F$3</f>
        <v>0.02</v>
      </c>
      <c r="D104" s="128" t="e">
        <f t="shared" si="18"/>
        <v>#VALUE!</v>
      </c>
      <c r="N104" s="125">
        <f t="shared" si="19"/>
      </c>
      <c r="P104" s="125">
        <f t="shared" si="20"/>
      </c>
      <c r="V104" s="125">
        <f t="shared" si="21"/>
      </c>
      <c r="W104" s="125">
        <f t="shared" si="28"/>
      </c>
      <c r="X104" s="126">
        <f t="shared" si="29"/>
      </c>
      <c r="Y104" s="126">
        <f t="shared" si="22"/>
      </c>
      <c r="Z104" s="125">
        <f t="shared" si="23"/>
      </c>
      <c r="AA104" s="125"/>
    </row>
    <row r="105" spans="1:27" ht="13.5" customHeight="1">
      <c r="A105" s="125">
        <f t="shared" si="26"/>
      </c>
      <c r="B105" s="125">
        <f t="shared" si="27"/>
      </c>
      <c r="C105" s="129">
        <f>'ルール＆合計'!$F$3</f>
        <v>0.02</v>
      </c>
      <c r="D105" s="128" t="e">
        <f t="shared" si="18"/>
        <v>#VALUE!</v>
      </c>
      <c r="N105" s="125">
        <f t="shared" si="19"/>
      </c>
      <c r="P105" s="125">
        <f t="shared" si="20"/>
      </c>
      <c r="V105" s="125">
        <f t="shared" si="21"/>
      </c>
      <c r="W105" s="125">
        <f t="shared" si="28"/>
      </c>
      <c r="X105" s="126">
        <f t="shared" si="29"/>
      </c>
      <c r="Y105" s="126">
        <f t="shared" si="22"/>
      </c>
      <c r="Z105" s="125">
        <f t="shared" si="23"/>
      </c>
      <c r="AA105" s="125"/>
    </row>
    <row r="106" spans="1:27" ht="13.5" customHeight="1">
      <c r="A106" s="125">
        <f t="shared" si="26"/>
      </c>
      <c r="B106" s="125">
        <f t="shared" si="27"/>
      </c>
      <c r="C106" s="129">
        <f>'ルール＆合計'!$F$3</f>
        <v>0.02</v>
      </c>
      <c r="D106" s="128" t="e">
        <f t="shared" si="18"/>
        <v>#VALUE!</v>
      </c>
      <c r="N106" s="125">
        <f t="shared" si="19"/>
      </c>
      <c r="P106" s="125">
        <f t="shared" si="20"/>
      </c>
      <c r="V106" s="125">
        <f t="shared" si="21"/>
      </c>
      <c r="W106" s="125">
        <f t="shared" si="28"/>
      </c>
      <c r="X106" s="126">
        <f t="shared" si="29"/>
      </c>
      <c r="Y106" s="126">
        <f t="shared" si="22"/>
      </c>
      <c r="Z106" s="125">
        <f t="shared" si="23"/>
      </c>
      <c r="AA106" s="125"/>
    </row>
    <row r="107" spans="1:27" ht="13.5" customHeight="1">
      <c r="A107" s="125">
        <f t="shared" si="26"/>
      </c>
      <c r="B107" s="125">
        <f t="shared" si="27"/>
      </c>
      <c r="C107" s="129">
        <f>'ルール＆合計'!$F$3</f>
        <v>0.02</v>
      </c>
      <c r="D107" s="128" t="e">
        <f t="shared" si="18"/>
        <v>#VALUE!</v>
      </c>
      <c r="N107" s="125">
        <f t="shared" si="19"/>
      </c>
      <c r="P107" s="125">
        <f t="shared" si="20"/>
      </c>
      <c r="V107" s="125">
        <f t="shared" si="21"/>
      </c>
      <c r="W107" s="125">
        <f t="shared" si="28"/>
      </c>
      <c r="X107" s="126">
        <f t="shared" si="29"/>
      </c>
      <c r="Y107" s="126">
        <f t="shared" si="22"/>
      </c>
      <c r="Z107" s="125">
        <f t="shared" si="23"/>
      </c>
      <c r="AA107" s="125"/>
    </row>
    <row r="108" spans="1:27" ht="13.5" customHeight="1">
      <c r="A108" s="125">
        <f t="shared" si="26"/>
      </c>
      <c r="B108" s="125">
        <f t="shared" si="27"/>
      </c>
      <c r="C108" s="129">
        <f>'ルール＆合計'!$F$3</f>
        <v>0.02</v>
      </c>
      <c r="D108" s="128" t="e">
        <f t="shared" si="18"/>
        <v>#VALUE!</v>
      </c>
      <c r="N108" s="125">
        <f t="shared" si="19"/>
      </c>
      <c r="P108" s="125">
        <f t="shared" si="20"/>
      </c>
      <c r="V108" s="125">
        <f t="shared" si="21"/>
      </c>
      <c r="W108" s="125">
        <f t="shared" si="28"/>
      </c>
      <c r="X108" s="126">
        <f t="shared" si="29"/>
      </c>
      <c r="Y108" s="126">
        <f t="shared" si="22"/>
      </c>
      <c r="Z108" s="125">
        <f t="shared" si="23"/>
      </c>
      <c r="AA108" s="125"/>
    </row>
    <row r="109" spans="1:27" ht="13.5" customHeight="1">
      <c r="A109" s="125">
        <f t="shared" si="26"/>
      </c>
      <c r="B109" s="125">
        <f t="shared" si="27"/>
      </c>
      <c r="C109" s="129">
        <f>'ルール＆合計'!$F$3</f>
        <v>0.02</v>
      </c>
      <c r="D109" s="128" t="e">
        <f t="shared" si="18"/>
        <v>#VALUE!</v>
      </c>
      <c r="N109" s="125">
        <f t="shared" si="19"/>
      </c>
      <c r="P109" s="125">
        <f t="shared" si="20"/>
      </c>
      <c r="V109" s="125">
        <f t="shared" si="21"/>
      </c>
      <c r="W109" s="125">
        <f t="shared" si="28"/>
      </c>
      <c r="X109" s="126">
        <f t="shared" si="29"/>
      </c>
      <c r="Y109" s="126">
        <f t="shared" si="22"/>
      </c>
      <c r="Z109" s="125">
        <f t="shared" si="23"/>
      </c>
      <c r="AA109" s="125"/>
    </row>
    <row r="110" spans="1:27" ht="13.5" customHeight="1">
      <c r="A110" s="125">
        <f t="shared" si="26"/>
      </c>
      <c r="B110" s="125">
        <f t="shared" si="27"/>
      </c>
      <c r="C110" s="129">
        <f>'ルール＆合計'!$F$3</f>
        <v>0.02</v>
      </c>
      <c r="D110" s="128" t="e">
        <f t="shared" si="18"/>
        <v>#VALUE!</v>
      </c>
      <c r="N110" s="125">
        <f t="shared" si="19"/>
      </c>
      <c r="P110" s="125">
        <f t="shared" si="20"/>
      </c>
      <c r="V110" s="125">
        <f t="shared" si="21"/>
      </c>
      <c r="W110" s="125">
        <f t="shared" si="28"/>
      </c>
      <c r="X110" s="126">
        <f t="shared" si="29"/>
      </c>
      <c r="Y110" s="126">
        <f t="shared" si="22"/>
      </c>
      <c r="Z110" s="125">
        <f t="shared" si="23"/>
      </c>
      <c r="AA110" s="125"/>
    </row>
    <row r="111" spans="1:27" ht="13.5" customHeight="1">
      <c r="A111" s="125">
        <f t="shared" si="26"/>
      </c>
      <c r="B111" s="125">
        <f t="shared" si="27"/>
      </c>
      <c r="C111" s="129">
        <f>'ルール＆合計'!$F$3</f>
        <v>0.02</v>
      </c>
      <c r="D111" s="128" t="e">
        <f t="shared" si="18"/>
        <v>#VALUE!</v>
      </c>
      <c r="N111" s="125">
        <f t="shared" si="19"/>
      </c>
      <c r="P111" s="125">
        <f t="shared" si="20"/>
      </c>
      <c r="V111" s="125">
        <f t="shared" si="21"/>
      </c>
      <c r="W111" s="125">
        <f t="shared" si="28"/>
      </c>
      <c r="X111" s="126">
        <f t="shared" si="29"/>
      </c>
      <c r="Y111" s="126">
        <f t="shared" si="22"/>
      </c>
      <c r="Z111" s="125">
        <f t="shared" si="23"/>
      </c>
      <c r="AA111" s="125"/>
    </row>
    <row r="112" spans="1:27" ht="13.5" customHeight="1">
      <c r="A112" s="125">
        <f t="shared" si="26"/>
      </c>
      <c r="B112" s="125">
        <f t="shared" si="27"/>
      </c>
      <c r="C112" s="129">
        <f>'ルール＆合計'!$F$3</f>
        <v>0.02</v>
      </c>
      <c r="D112" s="128" t="e">
        <f t="shared" si="18"/>
        <v>#VALUE!</v>
      </c>
      <c r="N112" s="125">
        <f t="shared" si="19"/>
      </c>
      <c r="P112" s="125">
        <f t="shared" si="20"/>
      </c>
      <c r="V112" s="125">
        <f t="shared" si="21"/>
      </c>
      <c r="W112" s="125">
        <f t="shared" si="28"/>
      </c>
      <c r="X112" s="126">
        <f t="shared" si="29"/>
      </c>
      <c r="Y112" s="126">
        <f t="shared" si="22"/>
      </c>
      <c r="Z112" s="125">
        <f t="shared" si="23"/>
      </c>
      <c r="AA112" s="125"/>
    </row>
  </sheetData>
  <sheetProtection/>
  <mergeCells count="3">
    <mergeCell ref="R1:U1"/>
    <mergeCell ref="G1:Q1"/>
    <mergeCell ref="A1:F1"/>
  </mergeCells>
  <printOptions/>
  <pageMargins left="0.6986111111111111" right="0.6986111111111111" top="0.75" bottom="0.75" header="0.3" footer="0.3"/>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167"/>
  <sheetViews>
    <sheetView zoomScale="90" zoomScaleNormal="90" zoomScaleSheetLayoutView="100" zoomScalePageLayoutView="0" workbookViewId="0" topLeftCell="A1">
      <pane xSplit="4" ySplit="4" topLeftCell="G5" activePane="bottomRight" state="frozen"/>
      <selection pane="topLeft" activeCell="A1" sqref="A1"/>
      <selection pane="topRight" activeCell="E1" sqref="E1"/>
      <selection pane="bottomLeft" activeCell="A3" sqref="A3"/>
      <selection pane="bottomRight" activeCell="G5" sqref="G5"/>
    </sheetView>
  </sheetViews>
  <sheetFormatPr defaultColWidth="10.00390625" defaultRowHeight="13.5" customHeight="1"/>
  <cols>
    <col min="1" max="1" width="4.625" style="0" bestFit="1" customWidth="1"/>
    <col min="2" max="2" width="10.375" style="0" bestFit="1" customWidth="1"/>
    <col min="3" max="3" width="3.25390625" style="0" customWidth="1"/>
    <col min="4" max="4" width="8.50390625" style="0" bestFit="1" customWidth="1"/>
    <col min="5" max="5" width="6.50390625" style="0" hidden="1" customWidth="1"/>
    <col min="6" max="6" width="9.50390625" style="0" hidden="1" customWidth="1"/>
    <col min="7" max="7" width="7.125" style="0" bestFit="1" customWidth="1"/>
    <col min="8" max="8" width="5.25390625" style="0" bestFit="1" customWidth="1"/>
    <col min="9" max="9" width="5.25390625" style="0" customWidth="1"/>
    <col min="10" max="10" width="8.25390625" style="0" bestFit="1" customWidth="1"/>
    <col min="11" max="11" width="5.25390625" style="131" bestFit="1" customWidth="1"/>
    <col min="12" max="12" width="8.50390625" style="0" bestFit="1" customWidth="1"/>
    <col min="13" max="13" width="36.125" style="0" bestFit="1" customWidth="1"/>
    <col min="14" max="14" width="8.50390625" style="0" bestFit="1" customWidth="1"/>
    <col min="15" max="15" width="8.50390625" style="0" hidden="1" customWidth="1"/>
    <col min="16" max="16" width="6.625" style="0" bestFit="1" customWidth="1"/>
    <col min="17" max="17" width="9.375" style="0" bestFit="1" customWidth="1"/>
    <col min="18" max="18" width="7.625" style="0" hidden="1" customWidth="1"/>
    <col min="19" max="19" width="5.25390625" style="0" bestFit="1" customWidth="1"/>
    <col min="20" max="20" width="7.125" style="0" bestFit="1" customWidth="1"/>
    <col min="21" max="21" width="7.125" style="0" customWidth="1"/>
    <col min="22" max="22" width="5.50390625" style="161" bestFit="1" customWidth="1"/>
    <col min="23" max="23" width="5.25390625" style="131" bestFit="1" customWidth="1"/>
    <col min="24" max="24" width="8.50390625" style="0" bestFit="1" customWidth="1"/>
    <col min="25" max="25" width="14.75390625" style="0" bestFit="1" customWidth="1"/>
    <col min="26" max="26" width="5.25390625" style="0" bestFit="1" customWidth="1"/>
    <col min="27" max="27" width="9.50390625" style="0" bestFit="1" customWidth="1"/>
    <col min="28" max="28" width="8.50390625" style="0" bestFit="1" customWidth="1"/>
    <col min="29" max="29" width="8.25390625" style="0" bestFit="1" customWidth="1"/>
    <col min="30" max="30" width="7.50390625" style="0" bestFit="1" customWidth="1"/>
  </cols>
  <sheetData>
    <row r="1" spans="8:16" ht="13.5" customHeight="1">
      <c r="H1" t="s">
        <v>560</v>
      </c>
      <c r="J1">
        <f>COUNTIF(M5:M167,"*②*")</f>
        <v>66</v>
      </c>
      <c r="K1" s="131" t="s">
        <v>562</v>
      </c>
      <c r="L1">
        <f>_xlfn.COUNTIFS(M5:M177,"*②*",Z5:Z177,"勝ち")</f>
        <v>18</v>
      </c>
      <c r="M1" t="str">
        <f>"負け："&amp;_xlfn.COUNTIFS(M5:M177,"*②*",Z5:Z177,"負け")</f>
        <v>負け：32</v>
      </c>
      <c r="N1" t="str">
        <f>"見送り："&amp;_xlfn.COUNTIFS(M5:M177,"*②*",Z5:Z177,"引分")</f>
        <v>見送り：16</v>
      </c>
      <c r="P1" t="str">
        <f>"勝率："&amp;ROUNDDOWN(L1/J1,3)*100</f>
        <v>勝率：27.2</v>
      </c>
    </row>
    <row r="2" spans="8:16" ht="13.5" customHeight="1">
      <c r="H2" t="s">
        <v>561</v>
      </c>
      <c r="J2">
        <f>COUNTIF(M5:M167,"*①*")</f>
        <v>56</v>
      </c>
      <c r="K2" s="131" t="s">
        <v>562</v>
      </c>
      <c r="L2">
        <f>_xlfn.COUNTIFS(M5:M177,"*①*",Z5:Z177,"勝ち")</f>
        <v>18</v>
      </c>
      <c r="M2" t="str">
        <f>"負け："&amp;_xlfn.COUNTIFS(M5:M177,"*①*",Z5:Z177,"負け")</f>
        <v>負け：34</v>
      </c>
      <c r="N2" t="str">
        <f>"見送り："&amp;_xlfn.COUNTIFS(M5:M177,"*①*",Z5:Z177,"引分")</f>
        <v>見送り：4</v>
      </c>
      <c r="P2" t="str">
        <f>"勝率："&amp;ROUNDDOWN(L2/J2,3)*100</f>
        <v>勝率：32.1</v>
      </c>
    </row>
    <row r="3" spans="1:25" ht="13.5" customHeight="1" thickBot="1">
      <c r="A3" s="192" t="s">
        <v>78</v>
      </c>
      <c r="B3" s="193"/>
      <c r="C3" s="193"/>
      <c r="D3" s="193"/>
      <c r="E3" s="193"/>
      <c r="F3" s="194"/>
      <c r="G3" s="191" t="s">
        <v>76</v>
      </c>
      <c r="H3" s="191"/>
      <c r="I3" s="191"/>
      <c r="J3" s="191"/>
      <c r="K3" s="191"/>
      <c r="L3" s="191"/>
      <c r="M3" s="191"/>
      <c r="N3" s="191"/>
      <c r="O3" s="191"/>
      <c r="P3" s="191"/>
      <c r="Q3" s="191"/>
      <c r="R3" s="191"/>
      <c r="S3" s="191"/>
      <c r="T3" s="189" t="s">
        <v>71</v>
      </c>
      <c r="U3" s="189"/>
      <c r="V3" s="190"/>
      <c r="W3" s="190"/>
      <c r="X3" s="190"/>
      <c r="Y3" s="190"/>
    </row>
    <row r="4" spans="1:32" ht="27.75" thickBot="1">
      <c r="A4" s="118" t="s">
        <v>68</v>
      </c>
      <c r="B4" s="117" t="s">
        <v>67</v>
      </c>
      <c r="C4" s="117" t="s">
        <v>69</v>
      </c>
      <c r="D4" s="117" t="s">
        <v>81</v>
      </c>
      <c r="E4" s="118" t="s">
        <v>70</v>
      </c>
      <c r="F4" s="119" t="s">
        <v>21</v>
      </c>
      <c r="G4" s="122" t="s">
        <v>23</v>
      </c>
      <c r="H4" s="122" t="s">
        <v>22</v>
      </c>
      <c r="I4" s="122" t="s">
        <v>338</v>
      </c>
      <c r="J4" s="130" t="s">
        <v>313</v>
      </c>
      <c r="K4" s="122" t="s">
        <v>314</v>
      </c>
      <c r="L4" s="122" t="s">
        <v>74</v>
      </c>
      <c r="M4" s="122" t="s">
        <v>337</v>
      </c>
      <c r="N4" s="122" t="s">
        <v>82</v>
      </c>
      <c r="O4" s="130" t="s">
        <v>127</v>
      </c>
      <c r="P4" s="130" t="s">
        <v>83</v>
      </c>
      <c r="Q4" s="130" t="s">
        <v>96</v>
      </c>
      <c r="R4" s="130" t="s">
        <v>105</v>
      </c>
      <c r="S4" s="130" t="s">
        <v>269</v>
      </c>
      <c r="T4" s="120" t="s">
        <v>72</v>
      </c>
      <c r="U4" s="120" t="s">
        <v>338</v>
      </c>
      <c r="V4" s="159" t="s">
        <v>313</v>
      </c>
      <c r="W4" s="121" t="s">
        <v>314</v>
      </c>
      <c r="X4" s="121" t="s">
        <v>74</v>
      </c>
      <c r="Y4" s="121" t="s">
        <v>75</v>
      </c>
      <c r="Z4" s="116" t="s">
        <v>24</v>
      </c>
      <c r="AA4" s="116" t="s">
        <v>79</v>
      </c>
      <c r="AB4" s="36" t="s">
        <v>25</v>
      </c>
      <c r="AC4" s="106" t="s">
        <v>26</v>
      </c>
      <c r="AD4" s="37" t="s">
        <v>27</v>
      </c>
      <c r="AE4" s="162" t="s">
        <v>339</v>
      </c>
      <c r="AF4" s="162" t="s">
        <v>340</v>
      </c>
    </row>
    <row r="5" spans="1:31" ht="13.5" customHeight="1">
      <c r="A5" s="125">
        <f>IF($F5&lt;&gt;"",ROW()-4,"")</f>
        <v>1</v>
      </c>
      <c r="B5" s="128">
        <f>'ルール＆合計'!B2:D2</f>
        <v>1000000</v>
      </c>
      <c r="C5" s="129">
        <f>'ルール＆合計'!$F$3</f>
        <v>0.02</v>
      </c>
      <c r="D5" s="128">
        <f>B5*C5</f>
        <v>20000</v>
      </c>
      <c r="E5" s="131">
        <v>10000</v>
      </c>
      <c r="F5" s="123" t="s">
        <v>90</v>
      </c>
      <c r="G5" s="123" t="s">
        <v>268</v>
      </c>
      <c r="H5" s="123" t="s">
        <v>315</v>
      </c>
      <c r="I5" s="123">
        <v>2014</v>
      </c>
      <c r="J5" s="163">
        <v>41645</v>
      </c>
      <c r="K5" s="131">
        <v>16</v>
      </c>
      <c r="L5">
        <v>103.909</v>
      </c>
      <c r="M5" s="123" t="s">
        <v>317</v>
      </c>
      <c r="N5" s="113">
        <v>104.837</v>
      </c>
      <c r="O5" s="113"/>
      <c r="P5" s="125">
        <f>IF(N5&lt;&gt;"",ABS(N5-L5)/IF(RIGHT(F5,3)="JPY",0.01,0.0001),"")</f>
        <v>92.79999999999973</v>
      </c>
      <c r="Q5" s="138">
        <f>IF(P5&lt;&gt;"",D5/P5,"")</f>
        <v>215.51724137931097</v>
      </c>
      <c r="R5" s="142">
        <f>IF(Q5&lt;&gt;"",ROUNDDOWN(D5/P5/IF(RIGHT(F5,3)="JPY",100,O5),2),"")</f>
        <v>2.15</v>
      </c>
      <c r="S5">
        <v>1</v>
      </c>
      <c r="T5" s="123" t="s">
        <v>268</v>
      </c>
      <c r="U5" s="123">
        <v>2014</v>
      </c>
      <c r="V5" s="160"/>
      <c r="W5" s="158"/>
      <c r="X5">
        <v>103.909</v>
      </c>
      <c r="Y5" t="s">
        <v>341</v>
      </c>
      <c r="Z5" s="124" t="str">
        <f aca="true" t="shared" si="0" ref="Z5:Z68">IF(H5&lt;&gt;"",IF(H5="買",IF(AA5&gt;0,"勝ち",IF(AA5=0,"引分","負け")),IF(H5="売",IF(AA5&gt;0,"負け",IF(AA5=0,"引分","勝ち")))),"")</f>
        <v>引分</v>
      </c>
      <c r="AA5" s="125">
        <f>X5-L5</f>
        <v>0</v>
      </c>
      <c r="AB5" s="125">
        <f>IF(Z5&lt;&gt;"",IF(Z5="勝ち",AA5/0.01,0),0)</f>
        <v>0</v>
      </c>
      <c r="AC5" s="137">
        <f>IF(Z5&lt;&gt;"",IF(Z5="負け",AA5/0.01,0),"")</f>
        <v>0</v>
      </c>
      <c r="AD5" s="125">
        <f>IF(Z5&lt;&gt;"",IF(Z5="勝ち",IF(AA5&gt;0,AA5*E5,ABS(AA5*E5)),IF(Z5="負け",IF(AA5&gt;0,(AA5*E5)*-1,AA5*E5),0)),"")</f>
        <v>0</v>
      </c>
      <c r="AE5">
        <f>AD5*S5</f>
        <v>0</v>
      </c>
    </row>
    <row r="6" spans="1:31" ht="13.5">
      <c r="A6" s="125">
        <f aca="true" t="shared" si="1" ref="A6:A69">IF($F6&lt;&gt;"",ROW()-4,"")</f>
        <v>2</v>
      </c>
      <c r="B6" s="125">
        <f>IF(Z5&lt;&gt;"",B5+ROUND(AD5,0),"")</f>
        <v>1000000</v>
      </c>
      <c r="C6" s="129">
        <f>'ルール＆合計'!$F$3</f>
        <v>0.02</v>
      </c>
      <c r="D6" s="128">
        <f aca="true" t="shared" si="2" ref="D6:D69">B6*C6</f>
        <v>20000</v>
      </c>
      <c r="E6" s="131">
        <v>10000</v>
      </c>
      <c r="F6" s="123" t="s">
        <v>90</v>
      </c>
      <c r="G6" s="123" t="s">
        <v>268</v>
      </c>
      <c r="H6" t="s">
        <v>316</v>
      </c>
      <c r="I6" s="123">
        <v>2014</v>
      </c>
      <c r="J6" s="161" t="s">
        <v>345</v>
      </c>
      <c r="K6" s="131" t="s">
        <v>343</v>
      </c>
      <c r="L6">
        <v>104.613</v>
      </c>
      <c r="M6" t="s">
        <v>342</v>
      </c>
      <c r="N6">
        <v>104.44</v>
      </c>
      <c r="P6" s="125">
        <f aca="true" t="shared" si="3" ref="P6:P69">IF(N6&lt;&gt;"",ABS(N6-L6)/0.01,"")</f>
        <v>17.300000000000182</v>
      </c>
      <c r="Q6" s="138">
        <f>IF(P6&lt;&gt;"",D6/P6,"")</f>
        <v>1156.0693641618375</v>
      </c>
      <c r="R6" s="125">
        <f aca="true" t="shared" si="4" ref="R6:R69">IF(Q6&lt;&gt;"",ROUNDDOWN(B6*C6/P6/L6,2),"")</f>
        <v>11.05</v>
      </c>
      <c r="S6">
        <v>1</v>
      </c>
      <c r="T6" s="123" t="s">
        <v>268</v>
      </c>
      <c r="U6" s="123">
        <v>2014</v>
      </c>
      <c r="V6" s="160">
        <v>41649</v>
      </c>
      <c r="W6" s="158">
        <v>12</v>
      </c>
      <c r="X6">
        <v>104.613</v>
      </c>
      <c r="Y6" t="s">
        <v>344</v>
      </c>
      <c r="Z6" s="124" t="str">
        <f t="shared" si="0"/>
        <v>引分</v>
      </c>
      <c r="AA6" s="125">
        <f>IF(X6&lt;&gt;"",X6-L6,"")</f>
        <v>0</v>
      </c>
      <c r="AB6" s="126">
        <f>IF(Z6&lt;&gt;"",IF(Z6="勝ち",AA6/0.01,0),"")</f>
        <v>0</v>
      </c>
      <c r="AC6" s="126">
        <f aca="true" t="shared" si="5" ref="AC6:AC69">IF(Z6&lt;&gt;"",IF(Z6="負け",AA6/0.01,0),"")</f>
        <v>0</v>
      </c>
      <c r="AD6" s="125">
        <f aca="true" t="shared" si="6" ref="AD6:AD69">IF(Z6&lt;&gt;"",IF(Z6="勝ち",IF(AA6&gt;0,AA6*E6,ABS(AA6*E6)),IF(Z6="負け",IF(AA6&gt;0,(AA6*E6)*-1,AA6*E6),0)),"")</f>
        <v>0</v>
      </c>
      <c r="AE6">
        <f aca="true" t="shared" si="7" ref="AE6:AE69">AD6*S6</f>
        <v>0</v>
      </c>
    </row>
    <row r="7" spans="1:31" ht="13.5">
      <c r="A7" s="125">
        <f t="shared" si="1"/>
        <v>3</v>
      </c>
      <c r="B7" s="125">
        <f aca="true" t="shared" si="8" ref="B7:B70">IF(Z6&lt;&gt;"",B6+ROUND(AD6,0),"")</f>
        <v>1000000</v>
      </c>
      <c r="C7" s="129">
        <f>'ルール＆合計'!$F$3</f>
        <v>0.02</v>
      </c>
      <c r="D7" s="128">
        <f t="shared" si="2"/>
        <v>20000</v>
      </c>
      <c r="E7" s="131">
        <v>10000</v>
      </c>
      <c r="F7" s="123" t="s">
        <v>90</v>
      </c>
      <c r="G7" s="123" t="s">
        <v>268</v>
      </c>
      <c r="H7" t="s">
        <v>315</v>
      </c>
      <c r="I7" s="123">
        <v>2014</v>
      </c>
      <c r="J7" s="161">
        <v>41648</v>
      </c>
      <c r="K7" s="131" t="s">
        <v>346</v>
      </c>
      <c r="L7">
        <v>104.76</v>
      </c>
      <c r="M7" t="s">
        <v>319</v>
      </c>
      <c r="N7">
        <v>105.03</v>
      </c>
      <c r="P7" s="125">
        <f t="shared" si="3"/>
        <v>26.999999999999602</v>
      </c>
      <c r="Q7" s="138">
        <f>IF(P7&lt;&gt;"",D7/P7,"")</f>
        <v>740.7407407407517</v>
      </c>
      <c r="R7" s="125">
        <f t="shared" si="4"/>
        <v>7.07</v>
      </c>
      <c r="S7">
        <v>1</v>
      </c>
      <c r="T7" s="123" t="s">
        <v>268</v>
      </c>
      <c r="U7" s="123">
        <v>2014</v>
      </c>
      <c r="V7" s="161">
        <v>41649</v>
      </c>
      <c r="W7" s="131">
        <v>12</v>
      </c>
      <c r="X7">
        <v>105.03</v>
      </c>
      <c r="Y7" t="s">
        <v>344</v>
      </c>
      <c r="Z7" s="124" t="str">
        <f t="shared" si="0"/>
        <v>負け</v>
      </c>
      <c r="AA7" s="125">
        <f aca="true" t="shared" si="9" ref="AA7:AA70">IF(X7&lt;&gt;"",X7-L7,"")</f>
        <v>0.269999999999996</v>
      </c>
      <c r="AB7" s="126">
        <f aca="true" t="shared" si="10" ref="AB7:AB70">IF(Z7&lt;&gt;"",IF(Z7="勝ち",AA7/0.01,0),"")</f>
        <v>0</v>
      </c>
      <c r="AC7" s="126">
        <f t="shared" si="5"/>
        <v>26.999999999999602</v>
      </c>
      <c r="AD7" s="125">
        <f t="shared" si="6"/>
        <v>-2699.99999999996</v>
      </c>
      <c r="AE7">
        <f t="shared" si="7"/>
        <v>-2699.99999999996</v>
      </c>
    </row>
    <row r="8" spans="1:31" ht="13.5">
      <c r="A8" s="125">
        <f t="shared" si="1"/>
        <v>4</v>
      </c>
      <c r="B8" s="125">
        <f t="shared" si="8"/>
        <v>997300</v>
      </c>
      <c r="C8" s="129">
        <f>'ルール＆合計'!$F$3</f>
        <v>0.02</v>
      </c>
      <c r="D8" s="128">
        <f t="shared" si="2"/>
        <v>19946</v>
      </c>
      <c r="E8" s="131">
        <v>10000</v>
      </c>
      <c r="F8" s="123" t="s">
        <v>90</v>
      </c>
      <c r="G8" s="123" t="s">
        <v>268</v>
      </c>
      <c r="H8" t="s">
        <v>315</v>
      </c>
      <c r="I8" s="123">
        <v>2014</v>
      </c>
      <c r="J8" s="161">
        <v>41649</v>
      </c>
      <c r="K8" s="131">
        <v>12</v>
      </c>
      <c r="L8">
        <v>104.18</v>
      </c>
      <c r="M8" t="s">
        <v>317</v>
      </c>
      <c r="N8">
        <v>105.311</v>
      </c>
      <c r="P8" s="125">
        <f t="shared" si="3"/>
        <v>113.10000000000002</v>
      </c>
      <c r="Q8" s="138">
        <f>IF(P8&lt;&gt;"",D8/P8,"")</f>
        <v>176.35720601237838</v>
      </c>
      <c r="R8" s="125">
        <f t="shared" si="4"/>
        <v>1.69</v>
      </c>
      <c r="S8">
        <v>1</v>
      </c>
      <c r="T8" s="123" t="s">
        <v>268</v>
      </c>
      <c r="U8" s="123">
        <v>2014</v>
      </c>
      <c r="V8" s="161">
        <v>41660</v>
      </c>
      <c r="W8" s="131">
        <v>0</v>
      </c>
      <c r="X8" s="131">
        <v>104.471</v>
      </c>
      <c r="Y8" t="s">
        <v>383</v>
      </c>
      <c r="Z8" s="124" t="str">
        <f t="shared" si="0"/>
        <v>負け</v>
      </c>
      <c r="AA8" s="125">
        <f t="shared" si="9"/>
        <v>0.2909999999999968</v>
      </c>
      <c r="AB8" s="126">
        <f t="shared" si="10"/>
        <v>0</v>
      </c>
      <c r="AC8" s="126">
        <f t="shared" si="5"/>
        <v>29.09999999999968</v>
      </c>
      <c r="AD8" s="125">
        <f t="shared" si="6"/>
        <v>-2909.999999999968</v>
      </c>
      <c r="AE8">
        <f t="shared" si="7"/>
        <v>-2909.999999999968</v>
      </c>
    </row>
    <row r="9" spans="1:31" ht="13.5">
      <c r="A9" s="125">
        <f t="shared" si="1"/>
        <v>5</v>
      </c>
      <c r="B9" s="125">
        <f t="shared" si="8"/>
        <v>994390</v>
      </c>
      <c r="C9" s="129">
        <f>'ルール＆合計'!$F$3</f>
        <v>0.02</v>
      </c>
      <c r="D9" s="128">
        <f t="shared" si="2"/>
        <v>19887.8</v>
      </c>
      <c r="E9" s="131">
        <v>10000</v>
      </c>
      <c r="F9" s="123" t="s">
        <v>90</v>
      </c>
      <c r="G9" s="123" t="s">
        <v>268</v>
      </c>
      <c r="H9" t="s">
        <v>316</v>
      </c>
      <c r="I9" s="123">
        <v>2014</v>
      </c>
      <c r="J9" s="161">
        <v>41653</v>
      </c>
      <c r="K9" s="131">
        <v>0</v>
      </c>
      <c r="L9">
        <v>103.459</v>
      </c>
      <c r="M9" t="s">
        <v>320</v>
      </c>
      <c r="N9">
        <v>102.886</v>
      </c>
      <c r="P9" s="125">
        <f t="shared" si="3"/>
        <v>57.30000000000075</v>
      </c>
      <c r="Q9" s="138">
        <f aca="true" t="shared" si="11" ref="Q9:Q72">IF(P9&lt;&gt;"",D9/P9,"")</f>
        <v>347.0820244328052</v>
      </c>
      <c r="R9" s="125">
        <f t="shared" si="4"/>
        <v>3.35</v>
      </c>
      <c r="S9">
        <v>1</v>
      </c>
      <c r="T9" s="123" t="s">
        <v>268</v>
      </c>
      <c r="U9" s="123">
        <v>2014</v>
      </c>
      <c r="V9" s="161">
        <v>41655</v>
      </c>
      <c r="W9" s="173">
        <v>16</v>
      </c>
      <c r="X9" s="173">
        <v>104.213</v>
      </c>
      <c r="Y9" t="s">
        <v>383</v>
      </c>
      <c r="Z9" s="124" t="str">
        <f t="shared" si="0"/>
        <v>勝ち</v>
      </c>
      <c r="AA9" s="125">
        <f t="shared" si="9"/>
        <v>0.7539999999999907</v>
      </c>
      <c r="AB9" s="126">
        <f t="shared" si="10"/>
        <v>75.39999999999907</v>
      </c>
      <c r="AC9" s="126">
        <f t="shared" si="5"/>
        <v>0</v>
      </c>
      <c r="AD9" s="125">
        <f t="shared" si="6"/>
        <v>7539.999999999907</v>
      </c>
      <c r="AE9">
        <f t="shared" si="7"/>
        <v>7539.999999999907</v>
      </c>
    </row>
    <row r="10" spans="1:31" ht="13.5">
      <c r="A10" s="125">
        <f t="shared" si="1"/>
        <v>6</v>
      </c>
      <c r="B10" s="125">
        <f t="shared" si="8"/>
        <v>1001930</v>
      </c>
      <c r="C10" s="129">
        <f>'ルール＆合計'!$F$3</f>
        <v>0.02</v>
      </c>
      <c r="D10" s="128">
        <f t="shared" si="2"/>
        <v>20038.600000000002</v>
      </c>
      <c r="E10" s="131">
        <v>10000</v>
      </c>
      <c r="F10" s="123" t="s">
        <v>90</v>
      </c>
      <c r="G10" s="123" t="s">
        <v>268</v>
      </c>
      <c r="H10" t="s">
        <v>316</v>
      </c>
      <c r="I10" s="123">
        <v>2014</v>
      </c>
      <c r="J10" s="161">
        <v>41654</v>
      </c>
      <c r="K10" s="131">
        <v>12</v>
      </c>
      <c r="L10">
        <v>104.513</v>
      </c>
      <c r="M10" t="s">
        <v>321</v>
      </c>
      <c r="N10">
        <v>104.213</v>
      </c>
      <c r="P10" s="125">
        <f t="shared" si="3"/>
        <v>30.000000000001137</v>
      </c>
      <c r="Q10" s="138">
        <f t="shared" si="11"/>
        <v>667.9533333333081</v>
      </c>
      <c r="R10" s="125">
        <f t="shared" si="4"/>
        <v>6.39</v>
      </c>
      <c r="S10">
        <v>1</v>
      </c>
      <c r="T10" s="123" t="s">
        <v>268</v>
      </c>
      <c r="U10" s="123">
        <v>2014</v>
      </c>
      <c r="V10" s="161">
        <v>41655</v>
      </c>
      <c r="W10" s="173">
        <v>12</v>
      </c>
      <c r="X10" s="173">
        <v>104.473</v>
      </c>
      <c r="Y10" t="s">
        <v>383</v>
      </c>
      <c r="Z10" s="124" t="str">
        <f t="shared" si="0"/>
        <v>負け</v>
      </c>
      <c r="AA10" s="125">
        <f t="shared" si="9"/>
        <v>-0.04000000000000625</v>
      </c>
      <c r="AB10" s="126">
        <f t="shared" si="10"/>
        <v>0</v>
      </c>
      <c r="AC10" s="126">
        <f t="shared" si="5"/>
        <v>-4.000000000000625</v>
      </c>
      <c r="AD10" s="125">
        <f t="shared" si="6"/>
        <v>-400.0000000000625</v>
      </c>
      <c r="AE10">
        <f t="shared" si="7"/>
        <v>-400.0000000000625</v>
      </c>
    </row>
    <row r="11" spans="1:31" ht="13.5">
      <c r="A11" s="125">
        <f t="shared" si="1"/>
        <v>7</v>
      </c>
      <c r="B11" s="125">
        <f t="shared" si="8"/>
        <v>1001530</v>
      </c>
      <c r="C11" s="129">
        <f>'ルール＆合計'!$F$3</f>
        <v>0.02</v>
      </c>
      <c r="D11" s="128">
        <f t="shared" si="2"/>
        <v>20030.600000000002</v>
      </c>
      <c r="E11" s="131">
        <v>10000</v>
      </c>
      <c r="F11" s="123" t="s">
        <v>90</v>
      </c>
      <c r="G11" s="123" t="s">
        <v>268</v>
      </c>
      <c r="H11" t="s">
        <v>315</v>
      </c>
      <c r="I11" s="123">
        <v>2014</v>
      </c>
      <c r="J11" s="161">
        <v>41659</v>
      </c>
      <c r="K11" s="131">
        <v>12</v>
      </c>
      <c r="L11">
        <v>103.914</v>
      </c>
      <c r="M11" t="s">
        <v>317</v>
      </c>
      <c r="N11">
        <v>104.253</v>
      </c>
      <c r="P11" s="125">
        <f t="shared" si="3"/>
        <v>33.899999999999864</v>
      </c>
      <c r="Q11" s="138">
        <f t="shared" si="11"/>
        <v>590.8731563421853</v>
      </c>
      <c r="R11" s="125">
        <f t="shared" si="4"/>
        <v>5.68</v>
      </c>
      <c r="S11">
        <v>1</v>
      </c>
      <c r="T11" s="123" t="s">
        <v>268</v>
      </c>
      <c r="U11" s="123">
        <v>2014</v>
      </c>
      <c r="X11">
        <v>103.914</v>
      </c>
      <c r="Y11" t="s">
        <v>341</v>
      </c>
      <c r="Z11" s="124" t="str">
        <f t="shared" si="0"/>
        <v>引分</v>
      </c>
      <c r="AA11" s="125">
        <f t="shared" si="9"/>
        <v>0</v>
      </c>
      <c r="AB11" s="126">
        <f t="shared" si="10"/>
        <v>0</v>
      </c>
      <c r="AC11" s="126">
        <f t="shared" si="5"/>
        <v>0</v>
      </c>
      <c r="AD11" s="125">
        <f t="shared" si="6"/>
        <v>0</v>
      </c>
      <c r="AE11">
        <f t="shared" si="7"/>
        <v>0</v>
      </c>
    </row>
    <row r="12" spans="1:31" ht="13.5">
      <c r="A12" s="125">
        <f t="shared" si="1"/>
        <v>8</v>
      </c>
      <c r="B12" s="125">
        <f t="shared" si="8"/>
        <v>1001530</v>
      </c>
      <c r="C12" s="129">
        <f>'ルール＆合計'!$F$3</f>
        <v>0.02</v>
      </c>
      <c r="D12" s="128">
        <f t="shared" si="2"/>
        <v>20030.600000000002</v>
      </c>
      <c r="E12" s="131">
        <v>10000</v>
      </c>
      <c r="F12" s="123" t="s">
        <v>90</v>
      </c>
      <c r="G12" s="123" t="s">
        <v>268</v>
      </c>
      <c r="H12" t="s">
        <v>315</v>
      </c>
      <c r="I12" s="123">
        <v>2014</v>
      </c>
      <c r="J12" s="161" t="s">
        <v>386</v>
      </c>
      <c r="K12" s="131" t="s">
        <v>384</v>
      </c>
      <c r="L12">
        <v>104.229</v>
      </c>
      <c r="M12" t="s">
        <v>322</v>
      </c>
      <c r="N12">
        <v>104.479</v>
      </c>
      <c r="P12" s="125">
        <f t="shared" si="3"/>
        <v>25</v>
      </c>
      <c r="Q12" s="138">
        <f t="shared" si="11"/>
        <v>801.224</v>
      </c>
      <c r="R12" s="125">
        <f t="shared" si="4"/>
        <v>7.68</v>
      </c>
      <c r="S12">
        <v>1</v>
      </c>
      <c r="T12" s="123" t="s">
        <v>268</v>
      </c>
      <c r="U12" s="123">
        <v>2014</v>
      </c>
      <c r="X12">
        <v>104.229</v>
      </c>
      <c r="Y12" t="s">
        <v>385</v>
      </c>
      <c r="Z12" s="124" t="str">
        <f t="shared" si="0"/>
        <v>引分</v>
      </c>
      <c r="AA12" s="125">
        <f t="shared" si="9"/>
        <v>0</v>
      </c>
      <c r="AB12" s="126">
        <f t="shared" si="10"/>
        <v>0</v>
      </c>
      <c r="AC12" s="126">
        <f t="shared" si="5"/>
        <v>0</v>
      </c>
      <c r="AD12" s="125">
        <f t="shared" si="6"/>
        <v>0</v>
      </c>
      <c r="AE12">
        <f t="shared" si="7"/>
        <v>0</v>
      </c>
    </row>
    <row r="13" spans="1:31" ht="13.5">
      <c r="A13" s="125">
        <f t="shared" si="1"/>
        <v>9</v>
      </c>
      <c r="B13" s="125">
        <f t="shared" si="8"/>
        <v>1001530</v>
      </c>
      <c r="C13" s="129">
        <f>'ルール＆合計'!$F$3</f>
        <v>0.02</v>
      </c>
      <c r="D13" s="128">
        <f t="shared" si="2"/>
        <v>20030.600000000002</v>
      </c>
      <c r="E13" s="131">
        <v>10000</v>
      </c>
      <c r="F13" s="123" t="s">
        <v>90</v>
      </c>
      <c r="G13" s="123" t="s">
        <v>268</v>
      </c>
      <c r="H13" t="s">
        <v>315</v>
      </c>
      <c r="I13" s="123">
        <v>2014</v>
      </c>
      <c r="J13" s="161">
        <v>41662</v>
      </c>
      <c r="K13" s="131">
        <v>4</v>
      </c>
      <c r="L13">
        <v>104.272</v>
      </c>
      <c r="M13" t="s">
        <v>323</v>
      </c>
      <c r="N13">
        <v>104.624</v>
      </c>
      <c r="P13" s="125">
        <f t="shared" si="3"/>
        <v>35.199999999998965</v>
      </c>
      <c r="Q13" s="138">
        <f t="shared" si="11"/>
        <v>569.0511363636532</v>
      </c>
      <c r="R13" s="125">
        <f t="shared" si="4"/>
        <v>5.45</v>
      </c>
      <c r="S13">
        <v>1</v>
      </c>
      <c r="T13" s="123" t="s">
        <v>268</v>
      </c>
      <c r="U13" s="123">
        <v>2014</v>
      </c>
      <c r="V13" s="161">
        <v>41667</v>
      </c>
      <c r="W13" s="131">
        <v>8</v>
      </c>
      <c r="X13" s="131">
        <v>102.929</v>
      </c>
      <c r="Y13" t="s">
        <v>383</v>
      </c>
      <c r="Z13" s="124" t="str">
        <f t="shared" si="0"/>
        <v>勝ち</v>
      </c>
      <c r="AA13" s="125">
        <f t="shared" si="9"/>
        <v>-1.3430000000000035</v>
      </c>
      <c r="AB13" s="126">
        <f t="shared" si="10"/>
        <v>-134.30000000000035</v>
      </c>
      <c r="AC13" s="126">
        <f t="shared" si="5"/>
        <v>0</v>
      </c>
      <c r="AD13" s="125">
        <f t="shared" si="6"/>
        <v>13430.000000000035</v>
      </c>
      <c r="AE13">
        <f t="shared" si="7"/>
        <v>13430.000000000035</v>
      </c>
    </row>
    <row r="14" spans="1:31" ht="13.5">
      <c r="A14" s="125">
        <f t="shared" si="1"/>
        <v>10</v>
      </c>
      <c r="B14" s="125">
        <f t="shared" si="8"/>
        <v>1014960</v>
      </c>
      <c r="C14" s="129">
        <f>'ルール＆合計'!$F$3</f>
        <v>0.02</v>
      </c>
      <c r="D14" s="128">
        <f t="shared" si="2"/>
        <v>20299.2</v>
      </c>
      <c r="E14" s="131">
        <v>10000</v>
      </c>
      <c r="F14" s="123" t="s">
        <v>90</v>
      </c>
      <c r="G14" s="123" t="s">
        <v>268</v>
      </c>
      <c r="H14" t="s">
        <v>315</v>
      </c>
      <c r="I14" s="123">
        <v>2014</v>
      </c>
      <c r="J14" s="161">
        <v>41666</v>
      </c>
      <c r="K14" s="131">
        <v>16</v>
      </c>
      <c r="L14">
        <v>102.193</v>
      </c>
      <c r="M14" t="s">
        <v>317</v>
      </c>
      <c r="N14">
        <v>102.804</v>
      </c>
      <c r="P14" s="125">
        <f t="shared" si="3"/>
        <v>61.10000000000042</v>
      </c>
      <c r="Q14" s="138">
        <f t="shared" si="11"/>
        <v>332.2291325695558</v>
      </c>
      <c r="R14" s="125">
        <f t="shared" si="4"/>
        <v>3.25</v>
      </c>
      <c r="S14">
        <v>1</v>
      </c>
      <c r="T14" s="123" t="s">
        <v>268</v>
      </c>
      <c r="U14" s="123">
        <v>2014</v>
      </c>
      <c r="X14">
        <v>102.193</v>
      </c>
      <c r="Y14" t="s">
        <v>392</v>
      </c>
      <c r="Z14" s="124" t="str">
        <f t="shared" si="0"/>
        <v>引分</v>
      </c>
      <c r="AA14" s="125">
        <f t="shared" si="9"/>
        <v>0</v>
      </c>
      <c r="AB14" s="126">
        <f t="shared" si="10"/>
        <v>0</v>
      </c>
      <c r="AC14" s="126">
        <f t="shared" si="5"/>
        <v>0</v>
      </c>
      <c r="AD14" s="125">
        <f t="shared" si="6"/>
        <v>0</v>
      </c>
      <c r="AE14">
        <f t="shared" si="7"/>
        <v>0</v>
      </c>
    </row>
    <row r="15" spans="1:31" ht="13.5">
      <c r="A15" s="125">
        <f t="shared" si="1"/>
        <v>11</v>
      </c>
      <c r="B15" s="125">
        <f t="shared" si="8"/>
        <v>1014960</v>
      </c>
      <c r="C15" s="129">
        <f>'ルール＆合計'!$F$3</f>
        <v>0.02</v>
      </c>
      <c r="D15" s="128">
        <f t="shared" si="2"/>
        <v>20299.2</v>
      </c>
      <c r="E15" s="131">
        <v>10000</v>
      </c>
      <c r="F15" s="123" t="s">
        <v>90</v>
      </c>
      <c r="G15" s="123" t="s">
        <v>268</v>
      </c>
      <c r="H15" t="s">
        <v>316</v>
      </c>
      <c r="I15" s="123">
        <v>2014</v>
      </c>
      <c r="J15" s="161">
        <v>41667</v>
      </c>
      <c r="K15" s="131" t="s">
        <v>387</v>
      </c>
      <c r="L15">
        <v>103.178</v>
      </c>
      <c r="M15" t="s">
        <v>318</v>
      </c>
      <c r="N15">
        <v>102.594</v>
      </c>
      <c r="P15" s="125">
        <f t="shared" si="3"/>
        <v>58.40000000000032</v>
      </c>
      <c r="Q15" s="138">
        <f t="shared" si="11"/>
        <v>347.58904109588855</v>
      </c>
      <c r="R15" s="125">
        <f t="shared" si="4"/>
        <v>3.36</v>
      </c>
      <c r="S15">
        <v>1</v>
      </c>
      <c r="T15" s="123" t="s">
        <v>268</v>
      </c>
      <c r="U15" s="123">
        <v>2014</v>
      </c>
      <c r="V15" s="161">
        <v>41668</v>
      </c>
      <c r="W15" s="131">
        <v>12</v>
      </c>
      <c r="X15">
        <v>102.594</v>
      </c>
      <c r="Y15" t="s">
        <v>97</v>
      </c>
      <c r="Z15" s="124" t="str">
        <f t="shared" si="0"/>
        <v>負け</v>
      </c>
      <c r="AA15" s="125">
        <f t="shared" si="9"/>
        <v>-0.5840000000000032</v>
      </c>
      <c r="AB15" s="126">
        <f t="shared" si="10"/>
        <v>0</v>
      </c>
      <c r="AC15" s="126">
        <f t="shared" si="5"/>
        <v>-58.40000000000032</v>
      </c>
      <c r="AD15" s="125">
        <f t="shared" si="6"/>
        <v>-5840.000000000032</v>
      </c>
      <c r="AE15">
        <f t="shared" si="7"/>
        <v>-5840.000000000032</v>
      </c>
    </row>
    <row r="16" spans="1:31" ht="13.5">
      <c r="A16" s="125">
        <f t="shared" si="1"/>
        <v>12</v>
      </c>
      <c r="B16" s="125">
        <f t="shared" si="8"/>
        <v>1009120</v>
      </c>
      <c r="C16" s="129">
        <f>'ルール＆合計'!$F$3</f>
        <v>0.02</v>
      </c>
      <c r="D16" s="128">
        <f t="shared" si="2"/>
        <v>20182.4</v>
      </c>
      <c r="E16" s="131">
        <v>10000</v>
      </c>
      <c r="F16" s="123" t="s">
        <v>90</v>
      </c>
      <c r="G16" s="123" t="s">
        <v>268</v>
      </c>
      <c r="H16" t="s">
        <v>315</v>
      </c>
      <c r="I16" s="123">
        <v>2014</v>
      </c>
      <c r="J16" s="161">
        <v>41668</v>
      </c>
      <c r="K16" s="131" t="s">
        <v>388</v>
      </c>
      <c r="L16">
        <v>102.773</v>
      </c>
      <c r="M16" t="s">
        <v>319</v>
      </c>
      <c r="N16">
        <v>103.363</v>
      </c>
      <c r="P16" s="125">
        <f t="shared" si="3"/>
        <v>59.00000000000034</v>
      </c>
      <c r="Q16" s="138">
        <f t="shared" si="11"/>
        <v>342.07457627118447</v>
      </c>
      <c r="R16" s="125">
        <f t="shared" si="4"/>
        <v>3.32</v>
      </c>
      <c r="S16">
        <v>1</v>
      </c>
      <c r="T16" s="123" t="s">
        <v>268</v>
      </c>
      <c r="U16" s="123">
        <v>2014</v>
      </c>
      <c r="V16" s="161">
        <v>41676</v>
      </c>
      <c r="W16" s="131">
        <v>16</v>
      </c>
      <c r="X16" s="131">
        <v>101.762</v>
      </c>
      <c r="Y16" t="s">
        <v>383</v>
      </c>
      <c r="Z16" s="124" t="str">
        <f t="shared" si="0"/>
        <v>勝ち</v>
      </c>
      <c r="AA16" s="125">
        <f t="shared" si="9"/>
        <v>-1.0109999999999957</v>
      </c>
      <c r="AB16" s="126">
        <f t="shared" si="10"/>
        <v>-101.09999999999957</v>
      </c>
      <c r="AC16" s="126">
        <f t="shared" si="5"/>
        <v>0</v>
      </c>
      <c r="AD16" s="125">
        <f t="shared" si="6"/>
        <v>10109.999999999956</v>
      </c>
      <c r="AE16">
        <f t="shared" si="7"/>
        <v>10109.999999999956</v>
      </c>
    </row>
    <row r="17" spans="1:31" ht="13.5">
      <c r="A17" s="125">
        <f t="shared" si="1"/>
        <v>13</v>
      </c>
      <c r="B17" s="125">
        <f t="shared" si="8"/>
        <v>1019230</v>
      </c>
      <c r="C17" s="129">
        <f>'ルール＆合計'!$F$3</f>
        <v>0.02</v>
      </c>
      <c r="D17" s="128">
        <f t="shared" si="2"/>
        <v>20384.600000000002</v>
      </c>
      <c r="E17" s="131">
        <v>10000</v>
      </c>
      <c r="F17" s="123" t="s">
        <v>90</v>
      </c>
      <c r="G17" s="123" t="s">
        <v>268</v>
      </c>
      <c r="H17" t="s">
        <v>316</v>
      </c>
      <c r="I17" s="123">
        <v>2014</v>
      </c>
      <c r="J17" s="161" t="s">
        <v>389</v>
      </c>
      <c r="K17" s="131" t="s">
        <v>390</v>
      </c>
      <c r="L17">
        <v>102.343</v>
      </c>
      <c r="M17" t="s">
        <v>324</v>
      </c>
      <c r="N17">
        <v>101.838</v>
      </c>
      <c r="P17" s="125">
        <f t="shared" si="3"/>
        <v>50.500000000000966</v>
      </c>
      <c r="Q17" s="138">
        <f t="shared" si="11"/>
        <v>403.65544554454675</v>
      </c>
      <c r="R17" s="125">
        <f t="shared" si="4"/>
        <v>3.94</v>
      </c>
      <c r="S17">
        <v>1</v>
      </c>
      <c r="T17" s="123" t="s">
        <v>268</v>
      </c>
      <c r="U17" s="123">
        <v>2014</v>
      </c>
      <c r="V17" s="161">
        <v>41670</v>
      </c>
      <c r="W17" s="131">
        <v>12</v>
      </c>
      <c r="X17" s="131">
        <v>102.117</v>
      </c>
      <c r="Y17" t="s">
        <v>383</v>
      </c>
      <c r="Z17" s="124" t="str">
        <f t="shared" si="0"/>
        <v>負け</v>
      </c>
      <c r="AA17" s="125">
        <f t="shared" si="9"/>
        <v>-0.2259999999999991</v>
      </c>
      <c r="AB17" s="126">
        <f t="shared" si="10"/>
        <v>0</v>
      </c>
      <c r="AC17" s="126">
        <f t="shared" si="5"/>
        <v>-22.59999999999991</v>
      </c>
      <c r="AD17" s="125">
        <f t="shared" si="6"/>
        <v>-2259.999999999991</v>
      </c>
      <c r="AE17">
        <f t="shared" si="7"/>
        <v>-2259.999999999991</v>
      </c>
    </row>
    <row r="18" spans="1:31" ht="13.5">
      <c r="A18" s="125">
        <f t="shared" si="1"/>
        <v>14</v>
      </c>
      <c r="B18" s="125">
        <f t="shared" si="8"/>
        <v>1016970</v>
      </c>
      <c r="C18" s="129">
        <f>'ルール＆合計'!$F$3</f>
        <v>0.02</v>
      </c>
      <c r="D18" s="128">
        <f t="shared" si="2"/>
        <v>20339.4</v>
      </c>
      <c r="E18" s="131">
        <v>10000</v>
      </c>
      <c r="F18" s="123" t="s">
        <v>90</v>
      </c>
      <c r="G18" s="123" t="s">
        <v>268</v>
      </c>
      <c r="H18" t="s">
        <v>316</v>
      </c>
      <c r="I18" s="123">
        <v>2014</v>
      </c>
      <c r="J18" s="161">
        <v>41669</v>
      </c>
      <c r="K18" s="131">
        <v>12</v>
      </c>
      <c r="L18">
        <v>102.705</v>
      </c>
      <c r="M18" t="s">
        <v>325</v>
      </c>
      <c r="N18">
        <v>102.231</v>
      </c>
      <c r="P18" s="125">
        <f t="shared" si="3"/>
        <v>47.400000000000375</v>
      </c>
      <c r="Q18" s="138">
        <f t="shared" si="11"/>
        <v>429.10126582278144</v>
      </c>
      <c r="R18" s="125">
        <f t="shared" si="4"/>
        <v>4.17</v>
      </c>
      <c r="S18">
        <v>1</v>
      </c>
      <c r="T18" s="123" t="s">
        <v>268</v>
      </c>
      <c r="U18" s="123">
        <v>2014</v>
      </c>
      <c r="V18" s="161">
        <v>41670</v>
      </c>
      <c r="W18" s="131">
        <v>12</v>
      </c>
      <c r="X18">
        <v>102.231</v>
      </c>
      <c r="Y18" t="s">
        <v>391</v>
      </c>
      <c r="Z18" s="124" t="str">
        <f t="shared" si="0"/>
        <v>負け</v>
      </c>
      <c r="AA18" s="125">
        <f t="shared" si="9"/>
        <v>-0.47400000000000375</v>
      </c>
      <c r="AB18" s="126">
        <f t="shared" si="10"/>
        <v>0</v>
      </c>
      <c r="AC18" s="126">
        <f t="shared" si="5"/>
        <v>-47.400000000000375</v>
      </c>
      <c r="AD18" s="125">
        <f t="shared" si="6"/>
        <v>-4740.000000000037</v>
      </c>
      <c r="AE18">
        <f t="shared" si="7"/>
        <v>-4740.000000000037</v>
      </c>
    </row>
    <row r="19" spans="1:31" ht="13.5">
      <c r="A19" s="125">
        <f t="shared" si="1"/>
        <v>15</v>
      </c>
      <c r="B19" s="125">
        <f t="shared" si="8"/>
        <v>1012230</v>
      </c>
      <c r="C19" s="129">
        <f>'ルール＆合計'!$F$3</f>
        <v>0.02</v>
      </c>
      <c r="D19" s="128">
        <f t="shared" si="2"/>
        <v>20244.600000000002</v>
      </c>
      <c r="E19" s="131">
        <v>10000</v>
      </c>
      <c r="F19" s="123" t="s">
        <v>90</v>
      </c>
      <c r="G19" s="123" t="s">
        <v>268</v>
      </c>
      <c r="H19" t="s">
        <v>315</v>
      </c>
      <c r="I19" s="123">
        <v>2014</v>
      </c>
      <c r="J19" s="161">
        <v>41670</v>
      </c>
      <c r="K19" s="131">
        <v>4</v>
      </c>
      <c r="L19">
        <v>102.328</v>
      </c>
      <c r="M19" t="s">
        <v>393</v>
      </c>
      <c r="N19">
        <v>102.792</v>
      </c>
      <c r="P19" s="125">
        <f t="shared" si="3"/>
        <v>46.399999999999864</v>
      </c>
      <c r="Q19" s="138">
        <f t="shared" si="11"/>
        <v>436.30603448275997</v>
      </c>
      <c r="R19" s="125">
        <f t="shared" si="4"/>
        <v>4.26</v>
      </c>
      <c r="S19">
        <v>1</v>
      </c>
      <c r="T19" s="123" t="s">
        <v>268</v>
      </c>
      <c r="U19" s="123">
        <v>2014</v>
      </c>
      <c r="V19" s="161">
        <v>41670</v>
      </c>
      <c r="W19" s="131">
        <v>12</v>
      </c>
      <c r="X19" s="131">
        <v>101.563</v>
      </c>
      <c r="Y19" t="s">
        <v>383</v>
      </c>
      <c r="Z19" s="124" t="str">
        <f t="shared" si="0"/>
        <v>勝ち</v>
      </c>
      <c r="AA19" s="125">
        <f t="shared" si="9"/>
        <v>-0.7650000000000006</v>
      </c>
      <c r="AB19" s="126">
        <f t="shared" si="10"/>
        <v>-76.50000000000006</v>
      </c>
      <c r="AC19" s="126">
        <f t="shared" si="5"/>
        <v>0</v>
      </c>
      <c r="AD19" s="125">
        <f t="shared" si="6"/>
        <v>7650.0000000000055</v>
      </c>
      <c r="AE19">
        <f t="shared" si="7"/>
        <v>7650.0000000000055</v>
      </c>
    </row>
    <row r="20" spans="1:31" ht="13.5">
      <c r="A20" s="125">
        <f t="shared" si="1"/>
        <v>16</v>
      </c>
      <c r="B20" s="125">
        <f t="shared" si="8"/>
        <v>1019880</v>
      </c>
      <c r="C20" s="129">
        <f>'ルール＆合計'!$F$3</f>
        <v>0.02</v>
      </c>
      <c r="D20" s="128">
        <f t="shared" si="2"/>
        <v>20397.600000000002</v>
      </c>
      <c r="E20" s="131">
        <v>10000</v>
      </c>
      <c r="F20" s="123" t="s">
        <v>90</v>
      </c>
      <c r="G20" s="123" t="s">
        <v>268</v>
      </c>
      <c r="H20" t="s">
        <v>315</v>
      </c>
      <c r="I20" s="123">
        <v>2014</v>
      </c>
      <c r="J20" s="161">
        <v>41670</v>
      </c>
      <c r="K20" s="131">
        <v>12</v>
      </c>
      <c r="L20">
        <v>102.1</v>
      </c>
      <c r="M20" t="s">
        <v>317</v>
      </c>
      <c r="N20">
        <v>102.553</v>
      </c>
      <c r="P20" s="125">
        <f t="shared" si="3"/>
        <v>45.300000000000296</v>
      </c>
      <c r="Q20" s="138">
        <f t="shared" si="11"/>
        <v>450.27814569536133</v>
      </c>
      <c r="R20" s="125">
        <f t="shared" si="4"/>
        <v>4.41</v>
      </c>
      <c r="S20">
        <v>1</v>
      </c>
      <c r="T20" s="123" t="s">
        <v>268</v>
      </c>
      <c r="U20" s="123">
        <v>2014</v>
      </c>
      <c r="V20" s="161">
        <v>41670</v>
      </c>
      <c r="W20" s="131">
        <v>12</v>
      </c>
      <c r="X20" s="131">
        <v>101.563</v>
      </c>
      <c r="Y20" t="s">
        <v>383</v>
      </c>
      <c r="Z20" s="124" t="str">
        <f t="shared" si="0"/>
        <v>勝ち</v>
      </c>
      <c r="AA20" s="125">
        <f t="shared" si="9"/>
        <v>-0.5369999999999919</v>
      </c>
      <c r="AB20" s="126">
        <f t="shared" si="10"/>
        <v>-53.69999999999919</v>
      </c>
      <c r="AC20" s="126">
        <f t="shared" si="5"/>
        <v>0</v>
      </c>
      <c r="AD20" s="125">
        <f t="shared" si="6"/>
        <v>5369.999999999919</v>
      </c>
      <c r="AE20">
        <f t="shared" si="7"/>
        <v>5369.999999999919</v>
      </c>
    </row>
    <row r="21" spans="1:31" ht="13.5">
      <c r="A21" s="125">
        <f t="shared" si="1"/>
        <v>17</v>
      </c>
      <c r="B21" s="125">
        <f t="shared" si="8"/>
        <v>1025250</v>
      </c>
      <c r="C21" s="129">
        <f>'ルール＆合計'!$F$3</f>
        <v>0.02</v>
      </c>
      <c r="D21" s="128">
        <f t="shared" si="2"/>
        <v>20505</v>
      </c>
      <c r="E21" s="131">
        <v>10000</v>
      </c>
      <c r="F21" s="123" t="s">
        <v>90</v>
      </c>
      <c r="G21" s="123" t="s">
        <v>268</v>
      </c>
      <c r="H21" t="s">
        <v>315</v>
      </c>
      <c r="I21" s="123">
        <v>2014</v>
      </c>
      <c r="J21" s="161">
        <v>41675</v>
      </c>
      <c r="K21" s="131">
        <v>0</v>
      </c>
      <c r="L21">
        <v>101.41</v>
      </c>
      <c r="M21" t="s">
        <v>322</v>
      </c>
      <c r="N21">
        <v>101.762</v>
      </c>
      <c r="P21" s="125">
        <f t="shared" si="3"/>
        <v>35.20000000000039</v>
      </c>
      <c r="Q21" s="138">
        <f t="shared" si="11"/>
        <v>582.5284090909026</v>
      </c>
      <c r="R21" s="125">
        <f t="shared" si="4"/>
        <v>5.74</v>
      </c>
      <c r="S21">
        <v>1</v>
      </c>
      <c r="T21" s="123" t="s">
        <v>268</v>
      </c>
      <c r="U21" s="123">
        <v>2014</v>
      </c>
      <c r="V21" s="161">
        <v>41676</v>
      </c>
      <c r="W21" s="131">
        <v>16</v>
      </c>
      <c r="X21" s="131">
        <v>101.563</v>
      </c>
      <c r="Y21" t="s">
        <v>383</v>
      </c>
      <c r="Z21" s="124" t="str">
        <f t="shared" si="0"/>
        <v>負け</v>
      </c>
      <c r="AA21" s="125">
        <f t="shared" si="9"/>
        <v>0.1530000000000058</v>
      </c>
      <c r="AB21" s="126">
        <f t="shared" si="10"/>
        <v>0</v>
      </c>
      <c r="AC21" s="126">
        <f t="shared" si="5"/>
        <v>15.30000000000058</v>
      </c>
      <c r="AD21" s="125">
        <f t="shared" si="6"/>
        <v>-1530.000000000058</v>
      </c>
      <c r="AE21">
        <f t="shared" si="7"/>
        <v>-1530.000000000058</v>
      </c>
    </row>
    <row r="22" spans="1:33" ht="13.5">
      <c r="A22" s="125">
        <f t="shared" si="1"/>
        <v>18</v>
      </c>
      <c r="B22" s="125">
        <f t="shared" si="8"/>
        <v>1023720</v>
      </c>
      <c r="C22" s="129">
        <f>'ルール＆合計'!$F$3</f>
        <v>0.02</v>
      </c>
      <c r="D22" s="128">
        <f t="shared" si="2"/>
        <v>20474.4</v>
      </c>
      <c r="E22" s="131">
        <v>10000</v>
      </c>
      <c r="F22" s="123" t="s">
        <v>90</v>
      </c>
      <c r="G22" s="123" t="s">
        <v>268</v>
      </c>
      <c r="H22" t="s">
        <v>316</v>
      </c>
      <c r="I22" s="123">
        <v>2014</v>
      </c>
      <c r="J22" s="161">
        <v>41676</v>
      </c>
      <c r="K22" s="131" t="s">
        <v>394</v>
      </c>
      <c r="L22">
        <v>101.996</v>
      </c>
      <c r="M22" t="s">
        <v>318</v>
      </c>
      <c r="N22">
        <v>101.261</v>
      </c>
      <c r="P22" s="125">
        <f t="shared" si="3"/>
        <v>73.49999999999994</v>
      </c>
      <c r="Q22" s="138">
        <f t="shared" si="11"/>
        <v>278.5632653061227</v>
      </c>
      <c r="R22" s="125">
        <f t="shared" si="4"/>
        <v>2.73</v>
      </c>
      <c r="S22">
        <v>1</v>
      </c>
      <c r="T22" s="123" t="s">
        <v>268</v>
      </c>
      <c r="U22" s="123">
        <v>2014</v>
      </c>
      <c r="V22" s="161">
        <v>41683</v>
      </c>
      <c r="W22" s="131">
        <v>4</v>
      </c>
      <c r="X22" s="131">
        <v>102.222</v>
      </c>
      <c r="Y22" t="s">
        <v>383</v>
      </c>
      <c r="Z22" s="124" t="str">
        <f t="shared" si="0"/>
        <v>勝ち</v>
      </c>
      <c r="AA22" s="125">
        <f t="shared" si="9"/>
        <v>0.2259999999999991</v>
      </c>
      <c r="AB22" s="126">
        <f t="shared" si="10"/>
        <v>22.59999999999991</v>
      </c>
      <c r="AC22" s="126">
        <f t="shared" si="5"/>
        <v>0</v>
      </c>
      <c r="AD22" s="125">
        <f t="shared" si="6"/>
        <v>2259.999999999991</v>
      </c>
      <c r="AE22">
        <f t="shared" si="7"/>
        <v>2259.999999999991</v>
      </c>
      <c r="AG22" t="s">
        <v>395</v>
      </c>
    </row>
    <row r="23" spans="1:31" ht="13.5">
      <c r="A23" s="125">
        <f t="shared" si="1"/>
        <v>19</v>
      </c>
      <c r="B23" s="125">
        <f t="shared" si="8"/>
        <v>1025980</v>
      </c>
      <c r="C23" s="129">
        <f>'ルール＆合計'!$F$3</f>
        <v>0.02</v>
      </c>
      <c r="D23" s="128">
        <f t="shared" si="2"/>
        <v>20519.600000000002</v>
      </c>
      <c r="E23" s="131">
        <v>10000</v>
      </c>
      <c r="F23" s="123" t="s">
        <v>90</v>
      </c>
      <c r="G23" s="123" t="s">
        <v>268</v>
      </c>
      <c r="H23" t="s">
        <v>316</v>
      </c>
      <c r="I23" s="123">
        <v>2014</v>
      </c>
      <c r="J23" s="161">
        <v>41681</v>
      </c>
      <c r="K23" s="131" t="s">
        <v>396</v>
      </c>
      <c r="L23">
        <v>102.265</v>
      </c>
      <c r="M23" t="s">
        <v>318</v>
      </c>
      <c r="N23">
        <v>102.124</v>
      </c>
      <c r="P23" s="125">
        <f t="shared" si="3"/>
        <v>14.100000000000534</v>
      </c>
      <c r="Q23" s="138">
        <f t="shared" si="11"/>
        <v>1455.290780141789</v>
      </c>
      <c r="R23" s="125">
        <f t="shared" si="4"/>
        <v>14.23</v>
      </c>
      <c r="S23">
        <v>1</v>
      </c>
      <c r="T23" s="123" t="s">
        <v>268</v>
      </c>
      <c r="U23" s="123">
        <v>2014</v>
      </c>
      <c r="V23" s="161">
        <v>41683</v>
      </c>
      <c r="W23" s="131">
        <v>4</v>
      </c>
      <c r="X23" s="131">
        <v>102.222</v>
      </c>
      <c r="Y23" t="s">
        <v>383</v>
      </c>
      <c r="Z23" s="124" t="str">
        <f t="shared" si="0"/>
        <v>負け</v>
      </c>
      <c r="AA23" s="125">
        <f t="shared" si="9"/>
        <v>-0.043000000000006366</v>
      </c>
      <c r="AB23" s="126">
        <f t="shared" si="10"/>
        <v>0</v>
      </c>
      <c r="AC23" s="126">
        <f t="shared" si="5"/>
        <v>-4.300000000000637</v>
      </c>
      <c r="AD23" s="125">
        <f t="shared" si="6"/>
        <v>-430.00000000006366</v>
      </c>
      <c r="AE23">
        <f t="shared" si="7"/>
        <v>-430.00000000006366</v>
      </c>
    </row>
    <row r="24" spans="1:33" ht="13.5">
      <c r="A24" s="125">
        <f t="shared" si="1"/>
        <v>20</v>
      </c>
      <c r="B24" s="125">
        <f t="shared" si="8"/>
        <v>1025550</v>
      </c>
      <c r="C24" s="129">
        <f>'ルール＆合計'!$F$3</f>
        <v>0.02</v>
      </c>
      <c r="D24" s="128">
        <f t="shared" si="2"/>
        <v>20511</v>
      </c>
      <c r="E24" s="131">
        <v>10000</v>
      </c>
      <c r="F24" s="123" t="s">
        <v>90</v>
      </c>
      <c r="G24" s="123" t="s">
        <v>268</v>
      </c>
      <c r="H24" t="s">
        <v>315</v>
      </c>
      <c r="I24" s="123">
        <v>2014</v>
      </c>
      <c r="J24" s="161">
        <v>41682</v>
      </c>
      <c r="K24" s="131" t="s">
        <v>397</v>
      </c>
      <c r="L24">
        <v>102.458</v>
      </c>
      <c r="M24" t="s">
        <v>323</v>
      </c>
      <c r="N24">
        <v>102.625</v>
      </c>
      <c r="P24" s="125">
        <f t="shared" si="3"/>
        <v>16.70000000000016</v>
      </c>
      <c r="Q24" s="138">
        <f t="shared" si="11"/>
        <v>1228.2035928143596</v>
      </c>
      <c r="R24" s="125">
        <f t="shared" si="4"/>
        <v>11.98</v>
      </c>
      <c r="S24">
        <v>1</v>
      </c>
      <c r="T24" s="123" t="s">
        <v>268</v>
      </c>
      <c r="U24" s="123">
        <v>2014</v>
      </c>
      <c r="V24" s="161">
        <v>41684</v>
      </c>
      <c r="W24" s="131">
        <v>0</v>
      </c>
      <c r="X24" s="131">
        <v>102.323</v>
      </c>
      <c r="Y24" t="s">
        <v>383</v>
      </c>
      <c r="Z24" s="124" t="str">
        <f t="shared" si="0"/>
        <v>勝ち</v>
      </c>
      <c r="AA24" s="125">
        <f t="shared" si="9"/>
        <v>-0.13500000000000512</v>
      </c>
      <c r="AB24" s="126">
        <f t="shared" si="10"/>
        <v>-13.500000000000512</v>
      </c>
      <c r="AC24" s="126">
        <f t="shared" si="5"/>
        <v>0</v>
      </c>
      <c r="AD24" s="125">
        <f t="shared" si="6"/>
        <v>1350.0000000000512</v>
      </c>
      <c r="AE24">
        <f t="shared" si="7"/>
        <v>1350.0000000000512</v>
      </c>
      <c r="AG24" t="s">
        <v>398</v>
      </c>
    </row>
    <row r="25" spans="1:31" ht="13.5">
      <c r="A25" s="125">
        <f t="shared" si="1"/>
        <v>21</v>
      </c>
      <c r="B25" s="125">
        <f t="shared" si="8"/>
        <v>1026900</v>
      </c>
      <c r="C25" s="129">
        <f>'ルール＆合計'!$F$3</f>
        <v>0.02</v>
      </c>
      <c r="D25" s="128">
        <f t="shared" si="2"/>
        <v>20538</v>
      </c>
      <c r="E25" s="131">
        <v>10000</v>
      </c>
      <c r="F25" s="123" t="s">
        <v>90</v>
      </c>
      <c r="G25" s="123" t="s">
        <v>268</v>
      </c>
      <c r="H25" t="s">
        <v>316</v>
      </c>
      <c r="I25" s="123">
        <v>2014</v>
      </c>
      <c r="J25" s="161">
        <v>41682</v>
      </c>
      <c r="K25" s="131">
        <v>16</v>
      </c>
      <c r="L25">
        <v>102.633</v>
      </c>
      <c r="M25" t="s">
        <v>326</v>
      </c>
      <c r="N25">
        <v>102.31</v>
      </c>
      <c r="P25" s="125">
        <f t="shared" si="3"/>
        <v>32.29999999999933</v>
      </c>
      <c r="Q25" s="138">
        <f t="shared" si="11"/>
        <v>635.8513931888677</v>
      </c>
      <c r="R25" s="125">
        <f t="shared" si="4"/>
        <v>6.19</v>
      </c>
      <c r="S25">
        <v>1</v>
      </c>
      <c r="T25" s="123" t="s">
        <v>268</v>
      </c>
      <c r="U25" s="123">
        <v>2014</v>
      </c>
      <c r="X25">
        <v>102.633</v>
      </c>
      <c r="Y25" t="s">
        <v>234</v>
      </c>
      <c r="Z25" s="124" t="str">
        <f t="shared" si="0"/>
        <v>引分</v>
      </c>
      <c r="AA25" s="125">
        <f t="shared" si="9"/>
        <v>0</v>
      </c>
      <c r="AB25" s="126">
        <f t="shared" si="10"/>
        <v>0</v>
      </c>
      <c r="AC25" s="126">
        <f t="shared" si="5"/>
        <v>0</v>
      </c>
      <c r="AD25" s="125">
        <f t="shared" si="6"/>
        <v>0</v>
      </c>
      <c r="AE25">
        <f t="shared" si="7"/>
        <v>0</v>
      </c>
    </row>
    <row r="26" spans="1:31" ht="13.5">
      <c r="A26" s="125">
        <f t="shared" si="1"/>
        <v>22</v>
      </c>
      <c r="B26" s="125">
        <f t="shared" si="8"/>
        <v>1026900</v>
      </c>
      <c r="C26" s="129">
        <f>'ルール＆合計'!$F$3</f>
        <v>0.02</v>
      </c>
      <c r="D26" s="128">
        <f t="shared" si="2"/>
        <v>20538</v>
      </c>
      <c r="E26" s="131">
        <v>10000</v>
      </c>
      <c r="F26" s="123" t="s">
        <v>90</v>
      </c>
      <c r="G26" s="123" t="s">
        <v>268</v>
      </c>
      <c r="H26" t="s">
        <v>316</v>
      </c>
      <c r="I26" s="123">
        <v>2014</v>
      </c>
      <c r="J26" s="161">
        <v>41683</v>
      </c>
      <c r="K26" s="131" t="s">
        <v>394</v>
      </c>
      <c r="L26">
        <v>102.275</v>
      </c>
      <c r="M26" t="s">
        <v>324</v>
      </c>
      <c r="N26">
        <v>101.71</v>
      </c>
      <c r="P26" s="125">
        <f t="shared" si="3"/>
        <v>56.500000000001194</v>
      </c>
      <c r="Q26" s="138">
        <f t="shared" si="11"/>
        <v>363.5044247787534</v>
      </c>
      <c r="R26" s="125">
        <f t="shared" si="4"/>
        <v>3.55</v>
      </c>
      <c r="S26">
        <v>1</v>
      </c>
      <c r="T26" s="123" t="s">
        <v>268</v>
      </c>
      <c r="U26" s="123">
        <v>2014</v>
      </c>
      <c r="V26" s="161">
        <v>41684</v>
      </c>
      <c r="W26" s="131">
        <v>4</v>
      </c>
      <c r="X26">
        <v>101.71</v>
      </c>
      <c r="Y26" t="s">
        <v>97</v>
      </c>
      <c r="Z26" s="124" t="str">
        <f t="shared" si="0"/>
        <v>負け</v>
      </c>
      <c r="AA26" s="125">
        <f t="shared" si="9"/>
        <v>-0.5650000000000119</v>
      </c>
      <c r="AB26" s="126">
        <f t="shared" si="10"/>
        <v>0</v>
      </c>
      <c r="AC26" s="126">
        <f t="shared" si="5"/>
        <v>-56.500000000001194</v>
      </c>
      <c r="AD26" s="125">
        <f t="shared" si="6"/>
        <v>-5650.000000000119</v>
      </c>
      <c r="AE26">
        <f t="shared" si="7"/>
        <v>-5650.000000000119</v>
      </c>
    </row>
    <row r="27" spans="1:31" ht="13.5">
      <c r="A27" s="125">
        <f t="shared" si="1"/>
        <v>23</v>
      </c>
      <c r="B27" s="125">
        <f t="shared" si="8"/>
        <v>1021250</v>
      </c>
      <c r="C27" s="129">
        <f>'ルール＆合計'!$F$3</f>
        <v>0.02</v>
      </c>
      <c r="D27" s="128">
        <f t="shared" si="2"/>
        <v>20425</v>
      </c>
      <c r="E27" s="131">
        <v>10000</v>
      </c>
      <c r="F27" s="123" t="s">
        <v>90</v>
      </c>
      <c r="G27" s="123" t="s">
        <v>268</v>
      </c>
      <c r="H27" t="s">
        <v>316</v>
      </c>
      <c r="I27" s="123">
        <v>2014</v>
      </c>
      <c r="J27" s="161">
        <v>41688</v>
      </c>
      <c r="K27" s="131" t="s">
        <v>399</v>
      </c>
      <c r="L27">
        <v>102.174</v>
      </c>
      <c r="M27" t="s">
        <v>327</v>
      </c>
      <c r="N27">
        <v>101.868</v>
      </c>
      <c r="P27" s="125">
        <f t="shared" si="3"/>
        <v>30.60000000000116</v>
      </c>
      <c r="Q27" s="138">
        <f t="shared" si="11"/>
        <v>667.4836601306937</v>
      </c>
      <c r="R27" s="125">
        <f t="shared" si="4"/>
        <v>6.53</v>
      </c>
      <c r="S27">
        <v>1</v>
      </c>
      <c r="T27" s="123" t="s">
        <v>268</v>
      </c>
      <c r="U27" s="123">
        <v>2014</v>
      </c>
      <c r="V27" s="161">
        <v>41689</v>
      </c>
      <c r="W27" s="131">
        <v>12</v>
      </c>
      <c r="X27">
        <v>101.868</v>
      </c>
      <c r="Y27" t="s">
        <v>97</v>
      </c>
      <c r="Z27" s="124" t="str">
        <f t="shared" si="0"/>
        <v>負け</v>
      </c>
      <c r="AA27" s="125">
        <f t="shared" si="9"/>
        <v>-0.3060000000000116</v>
      </c>
      <c r="AB27" s="126">
        <f t="shared" si="10"/>
        <v>0</v>
      </c>
      <c r="AC27" s="126">
        <f t="shared" si="5"/>
        <v>-30.60000000000116</v>
      </c>
      <c r="AD27" s="125">
        <f t="shared" si="6"/>
        <v>-3060.000000000116</v>
      </c>
      <c r="AE27">
        <f t="shared" si="7"/>
        <v>-3060.000000000116</v>
      </c>
    </row>
    <row r="28" spans="1:31" ht="13.5">
      <c r="A28" s="125">
        <f t="shared" si="1"/>
        <v>24</v>
      </c>
      <c r="B28" s="125">
        <f t="shared" si="8"/>
        <v>1018190</v>
      </c>
      <c r="C28" s="129">
        <f>'ルール＆合計'!$F$3</f>
        <v>0.02</v>
      </c>
      <c r="D28" s="128">
        <f t="shared" si="2"/>
        <v>20363.8</v>
      </c>
      <c r="E28" s="131">
        <v>10000</v>
      </c>
      <c r="F28" s="123" t="s">
        <v>90</v>
      </c>
      <c r="G28" s="123" t="s">
        <v>268</v>
      </c>
      <c r="H28" t="s">
        <v>315</v>
      </c>
      <c r="I28" s="123">
        <v>2014</v>
      </c>
      <c r="J28" s="161">
        <v>41690</v>
      </c>
      <c r="K28" s="131" t="s">
        <v>399</v>
      </c>
      <c r="L28">
        <v>101.924</v>
      </c>
      <c r="M28" t="s">
        <v>328</v>
      </c>
      <c r="N28">
        <v>102.403</v>
      </c>
      <c r="P28" s="125">
        <f t="shared" si="3"/>
        <v>47.89999999999992</v>
      </c>
      <c r="Q28" s="138">
        <f t="shared" si="11"/>
        <v>425.13152400835145</v>
      </c>
      <c r="R28" s="125">
        <f t="shared" si="4"/>
        <v>4.17</v>
      </c>
      <c r="S28">
        <v>1</v>
      </c>
      <c r="T28" s="123" t="s">
        <v>268</v>
      </c>
      <c r="U28" s="123">
        <v>2014</v>
      </c>
      <c r="V28" s="161">
        <v>41690</v>
      </c>
      <c r="W28" s="131">
        <v>16</v>
      </c>
      <c r="X28">
        <v>102.403</v>
      </c>
      <c r="Y28" t="s">
        <v>97</v>
      </c>
      <c r="Z28" s="124" t="str">
        <f t="shared" si="0"/>
        <v>負け</v>
      </c>
      <c r="AA28" s="125">
        <f t="shared" si="9"/>
        <v>0.4789999999999992</v>
      </c>
      <c r="AB28" s="126">
        <f t="shared" si="10"/>
        <v>0</v>
      </c>
      <c r="AC28" s="126">
        <f t="shared" si="5"/>
        <v>47.89999999999992</v>
      </c>
      <c r="AD28" s="125">
        <f t="shared" si="6"/>
        <v>-4789.999999999992</v>
      </c>
      <c r="AE28">
        <f t="shared" si="7"/>
        <v>-4789.999999999992</v>
      </c>
    </row>
    <row r="29" spans="1:31" ht="13.5">
      <c r="A29" s="125">
        <f t="shared" si="1"/>
        <v>25</v>
      </c>
      <c r="B29" s="125">
        <f t="shared" si="8"/>
        <v>1013400</v>
      </c>
      <c r="C29" s="129">
        <f>'ルール＆合計'!$F$3</f>
        <v>0.02</v>
      </c>
      <c r="D29" s="128">
        <f t="shared" si="2"/>
        <v>20268</v>
      </c>
      <c r="E29" s="131">
        <v>10000</v>
      </c>
      <c r="F29" s="123" t="s">
        <v>90</v>
      </c>
      <c r="G29" s="123" t="s">
        <v>268</v>
      </c>
      <c r="H29" t="s">
        <v>316</v>
      </c>
      <c r="I29" s="123">
        <v>2014</v>
      </c>
      <c r="J29" s="161">
        <v>41691</v>
      </c>
      <c r="K29" s="131" t="s">
        <v>346</v>
      </c>
      <c r="L29">
        <v>102.602</v>
      </c>
      <c r="M29" t="s">
        <v>321</v>
      </c>
      <c r="N29">
        <v>102.383</v>
      </c>
      <c r="P29" s="125">
        <f t="shared" si="3"/>
        <v>21.90000000000083</v>
      </c>
      <c r="Q29" s="138">
        <f t="shared" si="11"/>
        <v>925.4794520547595</v>
      </c>
      <c r="R29" s="125">
        <f t="shared" si="4"/>
        <v>9.02</v>
      </c>
      <c r="S29">
        <v>1</v>
      </c>
      <c r="T29" s="123" t="s">
        <v>268</v>
      </c>
      <c r="U29" s="123">
        <v>2014</v>
      </c>
      <c r="V29" s="161">
        <v>41694</v>
      </c>
      <c r="W29" s="131">
        <v>4</v>
      </c>
      <c r="X29">
        <v>102.383</v>
      </c>
      <c r="Y29" t="s">
        <v>97</v>
      </c>
      <c r="Z29" s="124" t="str">
        <f t="shared" si="0"/>
        <v>負け</v>
      </c>
      <c r="AA29" s="125">
        <f t="shared" si="9"/>
        <v>-0.2190000000000083</v>
      </c>
      <c r="AB29" s="126">
        <f t="shared" si="10"/>
        <v>0</v>
      </c>
      <c r="AC29" s="126">
        <f t="shared" si="5"/>
        <v>-21.90000000000083</v>
      </c>
      <c r="AD29" s="125">
        <f t="shared" si="6"/>
        <v>-2190.0000000000828</v>
      </c>
      <c r="AE29">
        <f t="shared" si="7"/>
        <v>-2190.0000000000828</v>
      </c>
    </row>
    <row r="30" spans="1:31" ht="13.5" customHeight="1">
      <c r="A30" s="125">
        <f t="shared" si="1"/>
        <v>26</v>
      </c>
      <c r="B30" s="125">
        <f t="shared" si="8"/>
        <v>1011210</v>
      </c>
      <c r="C30" s="129">
        <f>'ルール＆合計'!$F$3</f>
        <v>0.02</v>
      </c>
      <c r="D30" s="128">
        <f t="shared" si="2"/>
        <v>20224.2</v>
      </c>
      <c r="E30" s="131">
        <v>10000</v>
      </c>
      <c r="F30" s="123" t="s">
        <v>90</v>
      </c>
      <c r="G30" s="123" t="s">
        <v>268</v>
      </c>
      <c r="H30" t="s">
        <v>315</v>
      </c>
      <c r="I30" s="123">
        <v>2014</v>
      </c>
      <c r="J30" s="161" t="s">
        <v>400</v>
      </c>
      <c r="K30" s="131" t="s">
        <v>343</v>
      </c>
      <c r="L30">
        <v>102.441</v>
      </c>
      <c r="M30" t="s">
        <v>319</v>
      </c>
      <c r="N30">
        <v>102.669</v>
      </c>
      <c r="P30" s="125">
        <f t="shared" si="3"/>
        <v>22.799999999999443</v>
      </c>
      <c r="Q30" s="138">
        <f t="shared" si="11"/>
        <v>887.0263157894954</v>
      </c>
      <c r="R30" s="125">
        <f t="shared" si="4"/>
        <v>8.65</v>
      </c>
      <c r="S30">
        <v>1</v>
      </c>
      <c r="T30" s="123" t="s">
        <v>268</v>
      </c>
      <c r="U30" s="123">
        <v>2014</v>
      </c>
      <c r="V30" s="161">
        <v>41696</v>
      </c>
      <c r="W30" s="131">
        <v>16</v>
      </c>
      <c r="X30" s="131">
        <v>102.6</v>
      </c>
      <c r="Y30" t="s">
        <v>383</v>
      </c>
      <c r="Z30" s="124" t="str">
        <f t="shared" si="0"/>
        <v>負け</v>
      </c>
      <c r="AA30" s="125">
        <f t="shared" si="9"/>
        <v>0.15899999999999181</v>
      </c>
      <c r="AB30" s="126">
        <f t="shared" si="10"/>
        <v>0</v>
      </c>
      <c r="AC30" s="137">
        <f t="shared" si="5"/>
        <v>15.899999999999181</v>
      </c>
      <c r="AD30" s="125">
        <f t="shared" si="6"/>
        <v>-1589.9999999999181</v>
      </c>
      <c r="AE30">
        <f t="shared" si="7"/>
        <v>-1589.9999999999181</v>
      </c>
    </row>
    <row r="31" spans="1:31" ht="13.5">
      <c r="A31" s="125">
        <f t="shared" si="1"/>
        <v>27</v>
      </c>
      <c r="B31" s="125">
        <f t="shared" si="8"/>
        <v>1009620</v>
      </c>
      <c r="C31" s="129">
        <f>'ルール＆合計'!$F$3</f>
        <v>0.02</v>
      </c>
      <c r="D31" s="128">
        <f t="shared" si="2"/>
        <v>20192.4</v>
      </c>
      <c r="E31" s="131">
        <v>10000</v>
      </c>
      <c r="F31" s="123" t="s">
        <v>90</v>
      </c>
      <c r="G31" s="123" t="s">
        <v>268</v>
      </c>
      <c r="H31" t="s">
        <v>315</v>
      </c>
      <c r="I31" s="123">
        <v>2014</v>
      </c>
      <c r="J31" s="161">
        <v>41694</v>
      </c>
      <c r="K31" s="131">
        <v>4</v>
      </c>
      <c r="L31">
        <v>102.161</v>
      </c>
      <c r="M31" t="s">
        <v>329</v>
      </c>
      <c r="N31">
        <v>102.558</v>
      </c>
      <c r="P31" s="125">
        <f t="shared" si="3"/>
        <v>39.70000000000056</v>
      </c>
      <c r="Q31" s="138">
        <f t="shared" si="11"/>
        <v>508.62468513853196</v>
      </c>
      <c r="R31" s="125">
        <f t="shared" si="4"/>
        <v>4.97</v>
      </c>
      <c r="S31">
        <v>1</v>
      </c>
      <c r="T31" s="123" t="s">
        <v>268</v>
      </c>
      <c r="U31" s="123">
        <v>2014</v>
      </c>
      <c r="X31">
        <v>102.161</v>
      </c>
      <c r="Y31" t="s">
        <v>214</v>
      </c>
      <c r="Z31" s="124" t="str">
        <f t="shared" si="0"/>
        <v>引分</v>
      </c>
      <c r="AA31" s="125">
        <f t="shared" si="9"/>
        <v>0</v>
      </c>
      <c r="AB31" s="126">
        <f t="shared" si="10"/>
        <v>0</v>
      </c>
      <c r="AC31" s="127">
        <f t="shared" si="5"/>
        <v>0</v>
      </c>
      <c r="AD31" s="125">
        <f t="shared" si="6"/>
        <v>0</v>
      </c>
      <c r="AE31">
        <f t="shared" si="7"/>
        <v>0</v>
      </c>
    </row>
    <row r="32" spans="1:31" ht="13.5" customHeight="1">
      <c r="A32" s="125">
        <f t="shared" si="1"/>
        <v>28</v>
      </c>
      <c r="B32" s="125">
        <f t="shared" si="8"/>
        <v>1009620</v>
      </c>
      <c r="C32" s="129">
        <f>'ルール＆合計'!$F$3</f>
        <v>0.02</v>
      </c>
      <c r="D32" s="128">
        <f t="shared" si="2"/>
        <v>20192.4</v>
      </c>
      <c r="E32" s="131">
        <v>10000</v>
      </c>
      <c r="F32" s="123" t="s">
        <v>90</v>
      </c>
      <c r="G32" s="123" t="s">
        <v>268</v>
      </c>
      <c r="H32" t="s">
        <v>315</v>
      </c>
      <c r="I32" s="123">
        <v>2014</v>
      </c>
      <c r="J32" s="161">
        <v>41695</v>
      </c>
      <c r="K32" s="131" t="s">
        <v>401</v>
      </c>
      <c r="L32">
        <v>102.221</v>
      </c>
      <c r="M32" t="s">
        <v>330</v>
      </c>
      <c r="N32">
        <v>102.526</v>
      </c>
      <c r="P32" s="125">
        <f t="shared" si="3"/>
        <v>30.49999999999926</v>
      </c>
      <c r="Q32" s="138">
        <f t="shared" si="11"/>
        <v>662.0459016393603</v>
      </c>
      <c r="R32" s="125">
        <f t="shared" si="4"/>
        <v>6.47</v>
      </c>
      <c r="S32">
        <v>1</v>
      </c>
      <c r="T32" s="123" t="s">
        <v>268</v>
      </c>
      <c r="U32" s="123">
        <v>2014</v>
      </c>
      <c r="V32" s="161">
        <v>41696</v>
      </c>
      <c r="W32" s="131">
        <v>16</v>
      </c>
      <c r="X32">
        <v>102.526</v>
      </c>
      <c r="Y32" t="s">
        <v>97</v>
      </c>
      <c r="Z32" s="124" t="str">
        <f t="shared" si="0"/>
        <v>負け</v>
      </c>
      <c r="AA32" s="125">
        <f t="shared" si="9"/>
        <v>0.3049999999999926</v>
      </c>
      <c r="AB32" s="126">
        <f t="shared" si="10"/>
        <v>0</v>
      </c>
      <c r="AC32" s="137">
        <f t="shared" si="5"/>
        <v>30.49999999999926</v>
      </c>
      <c r="AD32" s="125">
        <f t="shared" si="6"/>
        <v>-3049.9999999999263</v>
      </c>
      <c r="AE32">
        <f t="shared" si="7"/>
        <v>-3049.9999999999263</v>
      </c>
    </row>
    <row r="33" spans="1:33" ht="13.5" customHeight="1">
      <c r="A33" s="125">
        <f t="shared" si="1"/>
        <v>29</v>
      </c>
      <c r="B33" s="125">
        <f t="shared" si="8"/>
        <v>1006570</v>
      </c>
      <c r="C33" s="129">
        <f>'ルール＆合計'!$F$3</f>
        <v>0.02</v>
      </c>
      <c r="D33" s="128">
        <f t="shared" si="2"/>
        <v>20131.4</v>
      </c>
      <c r="E33" s="131">
        <v>10000</v>
      </c>
      <c r="F33" s="123" t="s">
        <v>90</v>
      </c>
      <c r="G33" s="123" t="s">
        <v>268</v>
      </c>
      <c r="H33" t="s">
        <v>316</v>
      </c>
      <c r="I33" s="123">
        <v>2014</v>
      </c>
      <c r="J33" s="161">
        <v>41696</v>
      </c>
      <c r="K33" s="131" t="s">
        <v>388</v>
      </c>
      <c r="L33">
        <v>102.37</v>
      </c>
      <c r="M33" t="s">
        <v>331</v>
      </c>
      <c r="N33">
        <v>102.254</v>
      </c>
      <c r="P33" s="125">
        <f t="shared" si="3"/>
        <v>11.599999999999966</v>
      </c>
      <c r="Q33" s="138">
        <f t="shared" si="11"/>
        <v>1735.4655172413845</v>
      </c>
      <c r="R33" s="125">
        <f t="shared" si="4"/>
        <v>16.95</v>
      </c>
      <c r="S33">
        <v>1</v>
      </c>
      <c r="T33" s="123" t="s">
        <v>268</v>
      </c>
      <c r="U33" s="123">
        <v>2014</v>
      </c>
      <c r="V33" s="161">
        <v>41696</v>
      </c>
      <c r="W33" s="131">
        <v>16</v>
      </c>
      <c r="X33">
        <v>102.254</v>
      </c>
      <c r="Y33" t="s">
        <v>97</v>
      </c>
      <c r="Z33" s="124" t="str">
        <f t="shared" si="0"/>
        <v>負け</v>
      </c>
      <c r="AA33" s="125">
        <f t="shared" si="9"/>
        <v>-0.11599999999999966</v>
      </c>
      <c r="AB33" s="126">
        <f t="shared" si="10"/>
        <v>0</v>
      </c>
      <c r="AC33" s="137">
        <f t="shared" si="5"/>
        <v>-11.599999999999966</v>
      </c>
      <c r="AD33" s="125">
        <f t="shared" si="6"/>
        <v>-1159.9999999999966</v>
      </c>
      <c r="AE33">
        <f t="shared" si="7"/>
        <v>-1159.9999999999966</v>
      </c>
      <c r="AG33" t="s">
        <v>402</v>
      </c>
    </row>
    <row r="34" spans="1:31" ht="13.5" customHeight="1">
      <c r="A34" s="125">
        <f t="shared" si="1"/>
        <v>30</v>
      </c>
      <c r="B34" s="125">
        <f t="shared" si="8"/>
        <v>1005410</v>
      </c>
      <c r="C34" s="129">
        <f>'ルール＆合計'!$F$3</f>
        <v>0.02</v>
      </c>
      <c r="D34" s="128">
        <f t="shared" si="2"/>
        <v>20108.2</v>
      </c>
      <c r="E34" s="131">
        <v>10000</v>
      </c>
      <c r="F34" s="123" t="s">
        <v>90</v>
      </c>
      <c r="G34" s="123" t="s">
        <v>268</v>
      </c>
      <c r="H34" t="s">
        <v>315</v>
      </c>
      <c r="I34" s="123">
        <v>2014</v>
      </c>
      <c r="J34" s="161">
        <v>41697</v>
      </c>
      <c r="K34" s="131" t="s">
        <v>403</v>
      </c>
      <c r="L34">
        <v>101.883</v>
      </c>
      <c r="M34" t="s">
        <v>332</v>
      </c>
      <c r="N34">
        <v>102.394</v>
      </c>
      <c r="P34" s="125">
        <f t="shared" si="3"/>
        <v>51.10000000000099</v>
      </c>
      <c r="Q34" s="138">
        <f t="shared" si="11"/>
        <v>393.5068493150609</v>
      </c>
      <c r="R34" s="125">
        <f t="shared" si="4"/>
        <v>3.86</v>
      </c>
      <c r="S34">
        <v>1</v>
      </c>
      <c r="T34" s="123" t="s">
        <v>268</v>
      </c>
      <c r="U34" s="123">
        <v>2014</v>
      </c>
      <c r="V34" s="161">
        <v>41701</v>
      </c>
      <c r="W34" s="131">
        <v>16</v>
      </c>
      <c r="X34">
        <v>101.497</v>
      </c>
      <c r="Y34" t="s">
        <v>383</v>
      </c>
      <c r="Z34" s="124" t="str">
        <f t="shared" si="0"/>
        <v>勝ち</v>
      </c>
      <c r="AA34" s="125">
        <f t="shared" si="9"/>
        <v>-0.3859999999999957</v>
      </c>
      <c r="AB34" s="126">
        <f t="shared" si="10"/>
        <v>-38.59999999999957</v>
      </c>
      <c r="AC34" s="137">
        <f t="shared" si="5"/>
        <v>0</v>
      </c>
      <c r="AD34" s="125">
        <f t="shared" si="6"/>
        <v>3859.999999999957</v>
      </c>
      <c r="AE34">
        <f t="shared" si="7"/>
        <v>3859.999999999957</v>
      </c>
    </row>
    <row r="35" spans="1:31" ht="13.5" customHeight="1">
      <c r="A35" s="125">
        <f t="shared" si="1"/>
        <v>31</v>
      </c>
      <c r="B35" s="125">
        <f t="shared" si="8"/>
        <v>1009270</v>
      </c>
      <c r="C35" s="129">
        <f>'ルール＆合計'!$F$3</f>
        <v>0.02</v>
      </c>
      <c r="D35" s="128">
        <f t="shared" si="2"/>
        <v>20185.4</v>
      </c>
      <c r="E35" s="131">
        <v>10000</v>
      </c>
      <c r="F35" s="123" t="s">
        <v>90</v>
      </c>
      <c r="G35" s="123" t="s">
        <v>268</v>
      </c>
      <c r="H35" t="s">
        <v>315</v>
      </c>
      <c r="I35" s="123">
        <v>2014</v>
      </c>
      <c r="J35" s="161">
        <v>41698</v>
      </c>
      <c r="K35" s="131">
        <v>20</v>
      </c>
      <c r="L35">
        <v>101.665</v>
      </c>
      <c r="M35" t="s">
        <v>317</v>
      </c>
      <c r="N35">
        <v>102.126</v>
      </c>
      <c r="P35" s="125">
        <f t="shared" si="3"/>
        <v>46.09999999999985</v>
      </c>
      <c r="Q35" s="138">
        <f t="shared" si="11"/>
        <v>437.8611713665958</v>
      </c>
      <c r="R35" s="125">
        <f t="shared" si="4"/>
        <v>4.3</v>
      </c>
      <c r="S35">
        <v>1</v>
      </c>
      <c r="T35" s="123" t="s">
        <v>268</v>
      </c>
      <c r="U35" s="123">
        <v>2014</v>
      </c>
      <c r="X35">
        <v>101.665</v>
      </c>
      <c r="Y35" t="s">
        <v>404</v>
      </c>
      <c r="Z35" s="124" t="str">
        <f t="shared" si="0"/>
        <v>引分</v>
      </c>
      <c r="AA35" s="125">
        <f t="shared" si="9"/>
        <v>0</v>
      </c>
      <c r="AB35" s="126">
        <f t="shared" si="10"/>
        <v>0</v>
      </c>
      <c r="AC35" s="137">
        <f t="shared" si="5"/>
        <v>0</v>
      </c>
      <c r="AD35" s="125">
        <f t="shared" si="6"/>
        <v>0</v>
      </c>
      <c r="AE35">
        <f t="shared" si="7"/>
        <v>0</v>
      </c>
    </row>
    <row r="36" spans="1:31" ht="13.5" customHeight="1">
      <c r="A36" s="125">
        <f t="shared" si="1"/>
        <v>32</v>
      </c>
      <c r="B36" s="125">
        <f t="shared" si="8"/>
        <v>1009270</v>
      </c>
      <c r="C36" s="129">
        <f>'ルール＆合計'!$F$3</f>
        <v>0.02</v>
      </c>
      <c r="D36" s="128">
        <f t="shared" si="2"/>
        <v>20185.4</v>
      </c>
      <c r="E36" s="131">
        <v>10000</v>
      </c>
      <c r="F36" s="123" t="s">
        <v>90</v>
      </c>
      <c r="G36" s="123" t="s">
        <v>268</v>
      </c>
      <c r="H36" t="s">
        <v>316</v>
      </c>
      <c r="I36" s="123">
        <v>2014</v>
      </c>
      <c r="J36" s="161">
        <v>41702</v>
      </c>
      <c r="K36" s="131" t="s">
        <v>405</v>
      </c>
      <c r="L36">
        <v>101.944</v>
      </c>
      <c r="M36" t="s">
        <v>318</v>
      </c>
      <c r="N36">
        <v>101.645</v>
      </c>
      <c r="P36" s="125">
        <f t="shared" si="3"/>
        <v>29.90000000000066</v>
      </c>
      <c r="Q36" s="138">
        <f t="shared" si="11"/>
        <v>675.0969899665404</v>
      </c>
      <c r="R36" s="125">
        <f t="shared" si="4"/>
        <v>6.62</v>
      </c>
      <c r="S36">
        <v>1</v>
      </c>
      <c r="T36" s="123" t="s">
        <v>268</v>
      </c>
      <c r="U36" s="123">
        <v>2014</v>
      </c>
      <c r="V36" s="161">
        <v>41709</v>
      </c>
      <c r="W36" s="131">
        <v>16</v>
      </c>
      <c r="X36" s="131">
        <v>103.189</v>
      </c>
      <c r="Y36" t="s">
        <v>406</v>
      </c>
      <c r="Z36" s="124" t="str">
        <f t="shared" si="0"/>
        <v>勝ち</v>
      </c>
      <c r="AA36" s="125">
        <f t="shared" si="9"/>
        <v>1.2449999999999903</v>
      </c>
      <c r="AB36" s="126">
        <f t="shared" si="10"/>
        <v>124.49999999999903</v>
      </c>
      <c r="AC36" s="137">
        <f t="shared" si="5"/>
        <v>0</v>
      </c>
      <c r="AD36" s="125">
        <f t="shared" si="6"/>
        <v>12449.999999999904</v>
      </c>
      <c r="AE36">
        <f t="shared" si="7"/>
        <v>12449.999999999904</v>
      </c>
    </row>
    <row r="37" spans="1:31" ht="13.5" customHeight="1">
      <c r="A37" s="125">
        <f t="shared" si="1"/>
        <v>33</v>
      </c>
      <c r="B37" s="125">
        <f t="shared" si="8"/>
        <v>1021720</v>
      </c>
      <c r="C37" s="129">
        <f>'ルール＆合計'!$F$3</f>
        <v>0.02</v>
      </c>
      <c r="D37" s="128">
        <f t="shared" si="2"/>
        <v>20434.4</v>
      </c>
      <c r="E37" s="131">
        <v>10000</v>
      </c>
      <c r="F37" s="123" t="s">
        <v>90</v>
      </c>
      <c r="G37" s="123" t="s">
        <v>268</v>
      </c>
      <c r="H37" t="s">
        <v>315</v>
      </c>
      <c r="I37" s="123">
        <v>2014</v>
      </c>
      <c r="J37" s="161">
        <v>41703</v>
      </c>
      <c r="K37" s="131" t="s">
        <v>394</v>
      </c>
      <c r="L37">
        <v>102.242</v>
      </c>
      <c r="M37" t="s">
        <v>319</v>
      </c>
      <c r="N37">
        <v>102.549</v>
      </c>
      <c r="P37" s="125">
        <f t="shared" si="3"/>
        <v>30.700000000000216</v>
      </c>
      <c r="Q37" s="138">
        <f t="shared" si="11"/>
        <v>665.6156351791485</v>
      </c>
      <c r="R37" s="125">
        <f t="shared" si="4"/>
        <v>6.51</v>
      </c>
      <c r="S37">
        <v>1</v>
      </c>
      <c r="T37" s="123" t="s">
        <v>268</v>
      </c>
      <c r="U37" s="123">
        <v>2014</v>
      </c>
      <c r="V37" s="161">
        <v>41704</v>
      </c>
      <c r="W37" s="131">
        <v>0</v>
      </c>
      <c r="X37">
        <v>102.549</v>
      </c>
      <c r="Y37" t="s">
        <v>97</v>
      </c>
      <c r="Z37" s="124" t="str">
        <f t="shared" si="0"/>
        <v>負け</v>
      </c>
      <c r="AA37" s="125">
        <f t="shared" si="9"/>
        <v>0.30700000000000216</v>
      </c>
      <c r="AB37" s="126">
        <f t="shared" si="10"/>
        <v>0</v>
      </c>
      <c r="AC37" s="137">
        <f t="shared" si="5"/>
        <v>30.700000000000216</v>
      </c>
      <c r="AD37" s="125">
        <f t="shared" si="6"/>
        <v>-3070.000000000022</v>
      </c>
      <c r="AE37">
        <f t="shared" si="7"/>
        <v>-3070.000000000022</v>
      </c>
    </row>
    <row r="38" spans="1:31" ht="13.5" customHeight="1">
      <c r="A38" s="125">
        <f t="shared" si="1"/>
        <v>34</v>
      </c>
      <c r="B38" s="125">
        <f t="shared" si="8"/>
        <v>1018650</v>
      </c>
      <c r="C38" s="129">
        <f>'ルール＆合計'!$F$3</f>
        <v>0.02</v>
      </c>
      <c r="D38" s="128">
        <f t="shared" si="2"/>
        <v>20373</v>
      </c>
      <c r="E38" s="131">
        <v>10000</v>
      </c>
      <c r="F38" s="123" t="s">
        <v>90</v>
      </c>
      <c r="G38" s="123" t="s">
        <v>268</v>
      </c>
      <c r="H38" t="s">
        <v>316</v>
      </c>
      <c r="I38" s="123">
        <v>2014</v>
      </c>
      <c r="J38" s="161">
        <v>41703</v>
      </c>
      <c r="K38" s="131" t="s">
        <v>407</v>
      </c>
      <c r="L38">
        <v>102.597</v>
      </c>
      <c r="M38" t="s">
        <v>318</v>
      </c>
      <c r="N38">
        <v>102.246</v>
      </c>
      <c r="P38" s="125">
        <f t="shared" si="3"/>
        <v>35.09999999999991</v>
      </c>
      <c r="Q38" s="138">
        <f t="shared" si="11"/>
        <v>580.4273504273519</v>
      </c>
      <c r="R38" s="125">
        <f t="shared" si="4"/>
        <v>5.65</v>
      </c>
      <c r="S38">
        <v>1</v>
      </c>
      <c r="T38" s="123" t="s">
        <v>268</v>
      </c>
      <c r="U38" s="123">
        <v>2014</v>
      </c>
      <c r="V38" s="161">
        <v>41709</v>
      </c>
      <c r="W38" s="131">
        <v>16</v>
      </c>
      <c r="X38">
        <v>103.189</v>
      </c>
      <c r="Y38" t="s">
        <v>406</v>
      </c>
      <c r="Z38" s="124" t="str">
        <f t="shared" si="0"/>
        <v>勝ち</v>
      </c>
      <c r="AA38" s="125">
        <f t="shared" si="9"/>
        <v>0.5919999999999987</v>
      </c>
      <c r="AB38" s="126">
        <f t="shared" si="10"/>
        <v>59.199999999999875</v>
      </c>
      <c r="AC38" s="137">
        <f t="shared" si="5"/>
        <v>0</v>
      </c>
      <c r="AD38" s="125">
        <f t="shared" si="6"/>
        <v>5919.999999999987</v>
      </c>
      <c r="AE38">
        <f t="shared" si="7"/>
        <v>5919.999999999987</v>
      </c>
    </row>
    <row r="39" spans="1:31" ht="13.5" customHeight="1">
      <c r="A39" s="125">
        <f t="shared" si="1"/>
        <v>35</v>
      </c>
      <c r="B39" s="125">
        <f t="shared" si="8"/>
        <v>1024570</v>
      </c>
      <c r="C39" s="129">
        <f>'ルール＆合計'!$F$3</f>
        <v>0.02</v>
      </c>
      <c r="D39" s="128">
        <f t="shared" si="2"/>
        <v>20491.4</v>
      </c>
      <c r="E39" s="131">
        <v>10000</v>
      </c>
      <c r="F39" s="123" t="s">
        <v>90</v>
      </c>
      <c r="G39" s="123" t="s">
        <v>268</v>
      </c>
      <c r="H39" t="s">
        <v>316</v>
      </c>
      <c r="I39" s="123">
        <v>2014</v>
      </c>
      <c r="J39" s="161">
        <v>41705</v>
      </c>
      <c r="K39" s="131">
        <v>12</v>
      </c>
      <c r="L39">
        <v>103.756</v>
      </c>
      <c r="M39" t="s">
        <v>318</v>
      </c>
      <c r="N39">
        <v>102.829</v>
      </c>
      <c r="P39" s="125">
        <f t="shared" si="3"/>
        <v>92.70000000000067</v>
      </c>
      <c r="Q39" s="138">
        <f t="shared" si="11"/>
        <v>221.05070118662192</v>
      </c>
      <c r="R39" s="125">
        <f t="shared" si="4"/>
        <v>2.13</v>
      </c>
      <c r="S39">
        <v>1</v>
      </c>
      <c r="T39" s="123" t="s">
        <v>268</v>
      </c>
      <c r="U39" s="123">
        <v>2014</v>
      </c>
      <c r="X39">
        <v>103.756</v>
      </c>
      <c r="Y39" t="s">
        <v>234</v>
      </c>
      <c r="Z39" s="124" t="str">
        <f t="shared" si="0"/>
        <v>引分</v>
      </c>
      <c r="AA39" s="125">
        <f t="shared" si="9"/>
        <v>0</v>
      </c>
      <c r="AB39" s="126">
        <f t="shared" si="10"/>
        <v>0</v>
      </c>
      <c r="AC39" s="137">
        <f t="shared" si="5"/>
        <v>0</v>
      </c>
      <c r="AD39" s="125">
        <f t="shared" si="6"/>
        <v>0</v>
      </c>
      <c r="AE39">
        <f t="shared" si="7"/>
        <v>0</v>
      </c>
    </row>
    <row r="40" spans="1:31" ht="13.5" customHeight="1">
      <c r="A40" s="125">
        <f t="shared" si="1"/>
        <v>36</v>
      </c>
      <c r="B40" s="125">
        <f t="shared" si="8"/>
        <v>1024570</v>
      </c>
      <c r="C40" s="129">
        <f>'ルール＆合計'!$F$3</f>
        <v>0.02</v>
      </c>
      <c r="D40" s="128">
        <f t="shared" si="2"/>
        <v>20491.4</v>
      </c>
      <c r="E40" s="131">
        <v>10000</v>
      </c>
      <c r="F40" s="123" t="s">
        <v>90</v>
      </c>
      <c r="G40" s="123" t="s">
        <v>268</v>
      </c>
      <c r="H40" t="s">
        <v>316</v>
      </c>
      <c r="I40" s="123">
        <v>2014</v>
      </c>
      <c r="J40" s="161">
        <v>41708</v>
      </c>
      <c r="K40" s="131" t="s">
        <v>408</v>
      </c>
      <c r="L40">
        <v>103.278</v>
      </c>
      <c r="M40" t="s">
        <v>318</v>
      </c>
      <c r="N40">
        <v>102.931</v>
      </c>
      <c r="P40" s="125">
        <f t="shared" si="3"/>
        <v>34.70000000000084</v>
      </c>
      <c r="Q40" s="138">
        <f t="shared" si="11"/>
        <v>590.53025936598</v>
      </c>
      <c r="R40" s="125">
        <f t="shared" si="4"/>
        <v>5.71</v>
      </c>
      <c r="S40">
        <v>1</v>
      </c>
      <c r="T40" s="123" t="s">
        <v>268</v>
      </c>
      <c r="U40" s="123">
        <v>2014</v>
      </c>
      <c r="V40" s="161">
        <v>41709</v>
      </c>
      <c r="W40" s="131">
        <v>16</v>
      </c>
      <c r="X40">
        <v>103.189</v>
      </c>
      <c r="Y40" t="s">
        <v>406</v>
      </c>
      <c r="Z40" s="124" t="str">
        <f t="shared" si="0"/>
        <v>負け</v>
      </c>
      <c r="AA40" s="125">
        <f t="shared" si="9"/>
        <v>-0.08900000000001285</v>
      </c>
      <c r="AB40" s="126">
        <f t="shared" si="10"/>
        <v>0</v>
      </c>
      <c r="AC40" s="137">
        <f t="shared" si="5"/>
        <v>-8.900000000001285</v>
      </c>
      <c r="AD40" s="125">
        <f t="shared" si="6"/>
        <v>-890.0000000001285</v>
      </c>
      <c r="AE40">
        <f t="shared" si="7"/>
        <v>-890.0000000001285</v>
      </c>
    </row>
    <row r="41" spans="1:31" ht="13.5" customHeight="1">
      <c r="A41" s="125">
        <f t="shared" si="1"/>
        <v>37</v>
      </c>
      <c r="B41" s="125">
        <f t="shared" si="8"/>
        <v>1023680</v>
      </c>
      <c r="C41" s="129">
        <f>'ルール＆合計'!$F$3</f>
        <v>0.02</v>
      </c>
      <c r="D41" s="128">
        <f t="shared" si="2"/>
        <v>20473.600000000002</v>
      </c>
      <c r="E41" s="131">
        <v>10000</v>
      </c>
      <c r="F41" s="123" t="s">
        <v>90</v>
      </c>
      <c r="G41" s="123" t="s">
        <v>268</v>
      </c>
      <c r="H41" t="s">
        <v>316</v>
      </c>
      <c r="I41" s="123">
        <v>2014</v>
      </c>
      <c r="J41" s="161">
        <v>41709</v>
      </c>
      <c r="K41" s="131">
        <v>8</v>
      </c>
      <c r="L41">
        <v>103.356</v>
      </c>
      <c r="M41" t="s">
        <v>318</v>
      </c>
      <c r="N41">
        <v>103.189</v>
      </c>
      <c r="P41" s="125">
        <f t="shared" si="3"/>
        <v>16.70000000000016</v>
      </c>
      <c r="Q41" s="138">
        <f t="shared" si="11"/>
        <v>1225.964071856276</v>
      </c>
      <c r="R41" s="125">
        <f t="shared" si="4"/>
        <v>11.86</v>
      </c>
      <c r="S41">
        <v>1</v>
      </c>
      <c r="T41" s="123" t="s">
        <v>268</v>
      </c>
      <c r="U41" s="123">
        <v>2014</v>
      </c>
      <c r="X41">
        <v>103.356</v>
      </c>
      <c r="Y41" t="s">
        <v>234</v>
      </c>
      <c r="Z41" s="124" t="str">
        <f t="shared" si="0"/>
        <v>引分</v>
      </c>
      <c r="AA41" s="125">
        <f t="shared" si="9"/>
        <v>0</v>
      </c>
      <c r="AB41" s="126">
        <f t="shared" si="10"/>
        <v>0</v>
      </c>
      <c r="AC41" s="137">
        <f t="shared" si="5"/>
        <v>0</v>
      </c>
      <c r="AD41" s="125">
        <f t="shared" si="6"/>
        <v>0</v>
      </c>
      <c r="AE41">
        <f t="shared" si="7"/>
        <v>0</v>
      </c>
    </row>
    <row r="42" spans="1:31" ht="13.5" customHeight="1">
      <c r="A42" s="125">
        <f t="shared" si="1"/>
        <v>38</v>
      </c>
      <c r="B42" s="125">
        <f t="shared" si="8"/>
        <v>1023680</v>
      </c>
      <c r="C42" s="129">
        <f>'ルール＆合計'!$F$3</f>
        <v>0.02</v>
      </c>
      <c r="D42" s="128">
        <f t="shared" si="2"/>
        <v>20473.600000000002</v>
      </c>
      <c r="E42" s="131">
        <v>10000</v>
      </c>
      <c r="F42" s="123" t="s">
        <v>90</v>
      </c>
      <c r="G42" s="123" t="s">
        <v>268</v>
      </c>
      <c r="H42" t="s">
        <v>315</v>
      </c>
      <c r="I42" s="123">
        <v>2014</v>
      </c>
      <c r="J42" s="161">
        <v>41711</v>
      </c>
      <c r="K42" s="131" t="s">
        <v>409</v>
      </c>
      <c r="L42">
        <v>101.64</v>
      </c>
      <c r="M42" t="s">
        <v>317</v>
      </c>
      <c r="N42">
        <v>102.799</v>
      </c>
      <c r="P42" s="125">
        <f t="shared" si="3"/>
        <v>115.9000000000006</v>
      </c>
      <c r="Q42" s="138">
        <f t="shared" si="11"/>
        <v>176.6488352027601</v>
      </c>
      <c r="R42" s="125">
        <f t="shared" si="4"/>
        <v>1.73</v>
      </c>
      <c r="S42">
        <v>1</v>
      </c>
      <c r="T42" s="123" t="s">
        <v>268</v>
      </c>
      <c r="U42" s="123">
        <v>2014</v>
      </c>
      <c r="V42" s="161">
        <v>41717</v>
      </c>
      <c r="W42" s="131">
        <v>20</v>
      </c>
      <c r="X42" s="131">
        <v>101.783</v>
      </c>
      <c r="Y42" t="s">
        <v>383</v>
      </c>
      <c r="Z42" s="124" t="str">
        <f t="shared" si="0"/>
        <v>負け</v>
      </c>
      <c r="AA42" s="125">
        <f t="shared" si="9"/>
        <v>0.14300000000000068</v>
      </c>
      <c r="AB42" s="126">
        <f t="shared" si="10"/>
        <v>0</v>
      </c>
      <c r="AC42" s="137">
        <f t="shared" si="5"/>
        <v>14.300000000000068</v>
      </c>
      <c r="AD42" s="125">
        <f t="shared" si="6"/>
        <v>-1430.0000000000068</v>
      </c>
      <c r="AE42">
        <f t="shared" si="7"/>
        <v>-1430.0000000000068</v>
      </c>
    </row>
    <row r="43" spans="1:31" ht="13.5" customHeight="1">
      <c r="A43" s="125">
        <f t="shared" si="1"/>
        <v>39</v>
      </c>
      <c r="B43" s="125">
        <f t="shared" si="8"/>
        <v>1022250</v>
      </c>
      <c r="C43" s="129">
        <f>'ルール＆合計'!$F$3</f>
        <v>0.02</v>
      </c>
      <c r="D43" s="128">
        <f t="shared" si="2"/>
        <v>20445</v>
      </c>
      <c r="E43" s="131">
        <v>10000</v>
      </c>
      <c r="F43" s="123" t="s">
        <v>90</v>
      </c>
      <c r="G43" s="123" t="s">
        <v>268</v>
      </c>
      <c r="H43" t="s">
        <v>316</v>
      </c>
      <c r="I43" s="123">
        <v>2014</v>
      </c>
      <c r="J43" s="161" t="s">
        <v>410</v>
      </c>
      <c r="K43" s="131" t="s">
        <v>411</v>
      </c>
      <c r="L43">
        <v>102.397</v>
      </c>
      <c r="M43" t="s">
        <v>318</v>
      </c>
      <c r="N43">
        <v>102.056</v>
      </c>
      <c r="P43" s="125">
        <f t="shared" si="3"/>
        <v>34.10000000000082</v>
      </c>
      <c r="Q43" s="138">
        <f t="shared" si="11"/>
        <v>599.5601173020384</v>
      </c>
      <c r="R43" s="125">
        <f t="shared" si="4"/>
        <v>5.85</v>
      </c>
      <c r="S43">
        <v>1</v>
      </c>
      <c r="T43" s="123" t="s">
        <v>268</v>
      </c>
      <c r="U43" s="123">
        <v>2014</v>
      </c>
      <c r="V43" s="161">
        <v>41696</v>
      </c>
      <c r="W43" s="131">
        <v>20</v>
      </c>
      <c r="X43" s="131">
        <v>102.213</v>
      </c>
      <c r="Y43" t="s">
        <v>383</v>
      </c>
      <c r="Z43" s="124" t="str">
        <f t="shared" si="0"/>
        <v>負け</v>
      </c>
      <c r="AA43" s="125">
        <f t="shared" si="9"/>
        <v>-0.1840000000000117</v>
      </c>
      <c r="AB43" s="126">
        <f t="shared" si="10"/>
        <v>0</v>
      </c>
      <c r="AC43" s="137">
        <f t="shared" si="5"/>
        <v>-18.40000000000117</v>
      </c>
      <c r="AD43" s="125">
        <f t="shared" si="6"/>
        <v>-1840.000000000117</v>
      </c>
      <c r="AE43">
        <f t="shared" si="7"/>
        <v>-1840.000000000117</v>
      </c>
    </row>
    <row r="44" spans="1:31" ht="13.5" customHeight="1">
      <c r="A44" s="125">
        <f t="shared" si="1"/>
        <v>40</v>
      </c>
      <c r="B44" s="125">
        <f t="shared" si="8"/>
        <v>1020410</v>
      </c>
      <c r="C44" s="129">
        <f>'ルール＆合計'!$F$3</f>
        <v>0.02</v>
      </c>
      <c r="D44" s="128">
        <f t="shared" si="2"/>
        <v>20408.2</v>
      </c>
      <c r="E44" s="131">
        <v>10000</v>
      </c>
      <c r="F44" s="123" t="s">
        <v>90</v>
      </c>
      <c r="G44" s="123" t="s">
        <v>268</v>
      </c>
      <c r="H44" t="s">
        <v>412</v>
      </c>
      <c r="I44" s="123">
        <v>2014</v>
      </c>
      <c r="J44" s="161">
        <v>41722</v>
      </c>
      <c r="K44" s="131" t="s">
        <v>399</v>
      </c>
      <c r="L44">
        <v>102.353</v>
      </c>
      <c r="M44" t="s">
        <v>413</v>
      </c>
      <c r="N44">
        <v>102.077</v>
      </c>
      <c r="P44" s="125">
        <f t="shared" si="3"/>
        <v>27.599999999999625</v>
      </c>
      <c r="Q44" s="138">
        <f t="shared" si="11"/>
        <v>739.4275362318941</v>
      </c>
      <c r="R44" s="125">
        <f t="shared" si="4"/>
        <v>7.22</v>
      </c>
      <c r="S44">
        <v>1</v>
      </c>
      <c r="T44" s="123" t="s">
        <v>268</v>
      </c>
      <c r="U44" s="123">
        <v>2014</v>
      </c>
      <c r="V44" s="161">
        <v>41724</v>
      </c>
      <c r="W44" s="131">
        <v>20</v>
      </c>
      <c r="X44" s="131">
        <v>102.213</v>
      </c>
      <c r="Y44" t="s">
        <v>383</v>
      </c>
      <c r="Z44" s="124" t="str">
        <f t="shared" si="0"/>
        <v>負け</v>
      </c>
      <c r="AA44" s="125">
        <f t="shared" si="9"/>
        <v>-0.14000000000000057</v>
      </c>
      <c r="AB44" s="126">
        <f t="shared" si="10"/>
        <v>0</v>
      </c>
      <c r="AC44" s="137">
        <f t="shared" si="5"/>
        <v>-14.000000000000057</v>
      </c>
      <c r="AD44" s="125">
        <f t="shared" si="6"/>
        <v>-1400.0000000000057</v>
      </c>
      <c r="AE44">
        <f t="shared" si="7"/>
        <v>-1400.0000000000057</v>
      </c>
    </row>
    <row r="45" spans="1:31" ht="13.5" customHeight="1">
      <c r="A45" s="125">
        <f t="shared" si="1"/>
        <v>41</v>
      </c>
      <c r="B45" s="125">
        <f t="shared" si="8"/>
        <v>1019010</v>
      </c>
      <c r="C45" s="129">
        <f>'ルール＆合計'!$F$3</f>
        <v>0.02</v>
      </c>
      <c r="D45" s="128">
        <f t="shared" si="2"/>
        <v>20380.2</v>
      </c>
      <c r="E45" s="131">
        <v>10000</v>
      </c>
      <c r="F45" s="123" t="s">
        <v>90</v>
      </c>
      <c r="G45" s="123" t="s">
        <v>268</v>
      </c>
      <c r="H45" t="s">
        <v>316</v>
      </c>
      <c r="I45" s="123">
        <v>2014</v>
      </c>
      <c r="J45" s="161">
        <v>41722</v>
      </c>
      <c r="K45" s="131" t="s">
        <v>415</v>
      </c>
      <c r="L45">
        <v>102.398</v>
      </c>
      <c r="M45" t="s">
        <v>414</v>
      </c>
      <c r="N45">
        <v>102.556</v>
      </c>
      <c r="P45" s="125">
        <f t="shared" si="3"/>
        <v>15.800000000000125</v>
      </c>
      <c r="Q45" s="138">
        <f t="shared" si="11"/>
        <v>1289.8860759493568</v>
      </c>
      <c r="R45" s="125">
        <f t="shared" si="4"/>
        <v>12.59</v>
      </c>
      <c r="S45">
        <v>1</v>
      </c>
      <c r="T45" s="123" t="s">
        <v>268</v>
      </c>
      <c r="U45" s="123">
        <v>2014</v>
      </c>
      <c r="V45" s="161">
        <v>41726</v>
      </c>
      <c r="W45" s="131">
        <v>12</v>
      </c>
      <c r="X45" s="131">
        <v>102.239</v>
      </c>
      <c r="Y45" t="s">
        <v>383</v>
      </c>
      <c r="Z45" s="124" t="str">
        <f t="shared" si="0"/>
        <v>負け</v>
      </c>
      <c r="AA45" s="125">
        <f t="shared" si="9"/>
        <v>-0.15899999999999181</v>
      </c>
      <c r="AB45" s="126">
        <f t="shared" si="10"/>
        <v>0</v>
      </c>
      <c r="AC45" s="137">
        <f t="shared" si="5"/>
        <v>-15.899999999999181</v>
      </c>
      <c r="AD45" s="125">
        <f t="shared" si="6"/>
        <v>-1589.9999999999181</v>
      </c>
      <c r="AE45">
        <f t="shared" si="7"/>
        <v>-1589.9999999999181</v>
      </c>
    </row>
    <row r="46" spans="1:33" ht="13.5" customHeight="1">
      <c r="A46" s="125">
        <f t="shared" si="1"/>
        <v>42</v>
      </c>
      <c r="B46" s="125">
        <f t="shared" si="8"/>
        <v>1017420</v>
      </c>
      <c r="C46" s="129">
        <f>'ルール＆合計'!$F$3</f>
        <v>0.02</v>
      </c>
      <c r="D46" s="128">
        <f t="shared" si="2"/>
        <v>20348.4</v>
      </c>
      <c r="E46" s="131">
        <v>10000</v>
      </c>
      <c r="F46" s="123" t="s">
        <v>90</v>
      </c>
      <c r="G46" s="123" t="s">
        <v>268</v>
      </c>
      <c r="H46" t="s">
        <v>316</v>
      </c>
      <c r="I46" s="123">
        <v>2014</v>
      </c>
      <c r="J46" s="161" t="s">
        <v>416</v>
      </c>
      <c r="K46" s="131" t="s">
        <v>415</v>
      </c>
      <c r="L46">
        <v>102.429</v>
      </c>
      <c r="M46" t="s">
        <v>333</v>
      </c>
      <c r="N46">
        <v>102.075</v>
      </c>
      <c r="P46" s="125">
        <f t="shared" si="3"/>
        <v>35.39999999999992</v>
      </c>
      <c r="Q46" s="138">
        <f t="shared" si="11"/>
        <v>574.8135593220352</v>
      </c>
      <c r="R46" s="125">
        <f t="shared" si="4"/>
        <v>5.61</v>
      </c>
      <c r="S46">
        <v>1</v>
      </c>
      <c r="T46" s="123" t="s">
        <v>268</v>
      </c>
      <c r="U46" s="123">
        <v>2014</v>
      </c>
      <c r="V46" s="161">
        <v>41737</v>
      </c>
      <c r="W46" s="131">
        <v>4</v>
      </c>
      <c r="X46" s="131">
        <v>102.8</v>
      </c>
      <c r="Y46" t="s">
        <v>383</v>
      </c>
      <c r="Z46" s="124" t="str">
        <f t="shared" si="0"/>
        <v>勝ち</v>
      </c>
      <c r="AA46" s="125">
        <f t="shared" si="9"/>
        <v>0.3709999999999951</v>
      </c>
      <c r="AB46" s="126">
        <f t="shared" si="10"/>
        <v>37.09999999999951</v>
      </c>
      <c r="AC46" s="137">
        <f t="shared" si="5"/>
        <v>0</v>
      </c>
      <c r="AD46" s="125">
        <f t="shared" si="6"/>
        <v>3709.999999999951</v>
      </c>
      <c r="AE46">
        <f t="shared" si="7"/>
        <v>3709.999999999951</v>
      </c>
      <c r="AG46" t="s">
        <v>417</v>
      </c>
    </row>
    <row r="47" spans="1:31" ht="13.5" customHeight="1">
      <c r="A47" s="125">
        <f t="shared" si="1"/>
        <v>43</v>
      </c>
      <c r="B47" s="125">
        <f t="shared" si="8"/>
        <v>1021130</v>
      </c>
      <c r="C47" s="129">
        <f>'ルール＆合計'!$F$3</f>
        <v>0.02</v>
      </c>
      <c r="D47" s="128">
        <f t="shared" si="2"/>
        <v>20422.600000000002</v>
      </c>
      <c r="E47" s="131">
        <v>10000</v>
      </c>
      <c r="F47" s="123" t="s">
        <v>90</v>
      </c>
      <c r="G47" s="123" t="s">
        <v>268</v>
      </c>
      <c r="H47" t="s">
        <v>315</v>
      </c>
      <c r="I47" s="123">
        <v>2014</v>
      </c>
      <c r="J47" s="161">
        <v>41729</v>
      </c>
      <c r="K47" s="131">
        <v>16</v>
      </c>
      <c r="L47">
        <v>102.89</v>
      </c>
      <c r="M47" t="s">
        <v>319</v>
      </c>
      <c r="N47">
        <v>103.434</v>
      </c>
      <c r="P47" s="125">
        <f t="shared" si="3"/>
        <v>54.39999999999969</v>
      </c>
      <c r="Q47" s="138">
        <f t="shared" si="11"/>
        <v>375.41544117647277</v>
      </c>
      <c r="R47" s="125">
        <f t="shared" si="4"/>
        <v>3.64</v>
      </c>
      <c r="S47">
        <v>1</v>
      </c>
      <c r="T47" s="123" t="s">
        <v>268</v>
      </c>
      <c r="U47" s="123">
        <v>2014</v>
      </c>
      <c r="X47">
        <v>102.89</v>
      </c>
      <c r="Y47" t="s">
        <v>214</v>
      </c>
      <c r="Z47" s="124" t="str">
        <f t="shared" si="0"/>
        <v>引分</v>
      </c>
      <c r="AA47" s="125">
        <f t="shared" si="9"/>
        <v>0</v>
      </c>
      <c r="AB47" s="126">
        <f t="shared" si="10"/>
        <v>0</v>
      </c>
      <c r="AC47" s="137">
        <f t="shared" si="5"/>
        <v>0</v>
      </c>
      <c r="AD47" s="125">
        <f t="shared" si="6"/>
        <v>0</v>
      </c>
      <c r="AE47">
        <f t="shared" si="7"/>
        <v>0</v>
      </c>
    </row>
    <row r="48" spans="1:31" ht="13.5" customHeight="1">
      <c r="A48" s="125">
        <f t="shared" si="1"/>
        <v>44</v>
      </c>
      <c r="B48" s="125">
        <f t="shared" si="8"/>
        <v>1021130</v>
      </c>
      <c r="C48" s="129">
        <f>'ルール＆合計'!$F$3</f>
        <v>0.02</v>
      </c>
      <c r="D48" s="128">
        <f t="shared" si="2"/>
        <v>20422.600000000002</v>
      </c>
      <c r="E48" s="131">
        <v>10000</v>
      </c>
      <c r="F48" s="123" t="s">
        <v>90</v>
      </c>
      <c r="G48" s="123" t="s">
        <v>268</v>
      </c>
      <c r="H48" t="s">
        <v>316</v>
      </c>
      <c r="I48" s="123">
        <v>2014</v>
      </c>
      <c r="J48" s="161">
        <v>41732</v>
      </c>
      <c r="K48" s="131" t="s">
        <v>418</v>
      </c>
      <c r="L48">
        <v>104.07</v>
      </c>
      <c r="M48" t="s">
        <v>334</v>
      </c>
      <c r="N48">
        <v>103.842</v>
      </c>
      <c r="P48" s="125">
        <f t="shared" si="3"/>
        <v>22.799999999999443</v>
      </c>
      <c r="Q48" s="138">
        <f t="shared" si="11"/>
        <v>895.7280701754606</v>
      </c>
      <c r="R48" s="125">
        <f t="shared" si="4"/>
        <v>8.6</v>
      </c>
      <c r="S48">
        <v>1</v>
      </c>
      <c r="T48" s="123" t="s">
        <v>268</v>
      </c>
      <c r="U48" s="123">
        <v>2014</v>
      </c>
      <c r="V48" s="161">
        <v>41733</v>
      </c>
      <c r="W48" s="131">
        <v>12</v>
      </c>
      <c r="X48">
        <v>103.842</v>
      </c>
      <c r="Y48" t="s">
        <v>97</v>
      </c>
      <c r="Z48" s="124" t="str">
        <f t="shared" si="0"/>
        <v>負け</v>
      </c>
      <c r="AA48" s="125">
        <f t="shared" si="9"/>
        <v>-0.22799999999999443</v>
      </c>
      <c r="AB48" s="126">
        <f t="shared" si="10"/>
        <v>0</v>
      </c>
      <c r="AC48" s="137">
        <f t="shared" si="5"/>
        <v>-22.799999999999443</v>
      </c>
      <c r="AD48" s="125">
        <f t="shared" si="6"/>
        <v>-2279.9999999999445</v>
      </c>
      <c r="AE48">
        <f t="shared" si="7"/>
        <v>-2279.9999999999445</v>
      </c>
    </row>
    <row r="49" spans="1:31" ht="13.5" customHeight="1">
      <c r="A49" s="125">
        <f t="shared" si="1"/>
        <v>45</v>
      </c>
      <c r="B49" s="125">
        <f t="shared" si="8"/>
        <v>1018850</v>
      </c>
      <c r="C49" s="129">
        <f>'ルール＆合計'!$F$3</f>
        <v>0.02</v>
      </c>
      <c r="D49" s="128">
        <f t="shared" si="2"/>
        <v>20377</v>
      </c>
      <c r="E49" s="131">
        <v>10000</v>
      </c>
      <c r="F49" s="123" t="s">
        <v>90</v>
      </c>
      <c r="G49" s="123" t="s">
        <v>268</v>
      </c>
      <c r="H49" t="s">
        <v>315</v>
      </c>
      <c r="I49" s="123">
        <v>2014</v>
      </c>
      <c r="J49" s="161">
        <v>41737</v>
      </c>
      <c r="K49" s="131" t="s">
        <v>401</v>
      </c>
      <c r="L49">
        <v>102.52</v>
      </c>
      <c r="M49" t="s">
        <v>335</v>
      </c>
      <c r="N49">
        <v>102.983</v>
      </c>
      <c r="P49" s="125">
        <f t="shared" si="3"/>
        <v>46.30000000000081</v>
      </c>
      <c r="Q49" s="138">
        <f t="shared" si="11"/>
        <v>440.10799136068346</v>
      </c>
      <c r="R49" s="125">
        <f t="shared" si="4"/>
        <v>4.29</v>
      </c>
      <c r="S49">
        <v>1</v>
      </c>
      <c r="T49" s="123" t="s">
        <v>268</v>
      </c>
      <c r="U49" s="123">
        <v>2014</v>
      </c>
      <c r="V49" s="161">
        <v>41743</v>
      </c>
      <c r="W49" s="131">
        <v>8</v>
      </c>
      <c r="X49" s="131">
        <v>101.687</v>
      </c>
      <c r="Y49" t="s">
        <v>383</v>
      </c>
      <c r="Z49" s="124" t="str">
        <f t="shared" si="0"/>
        <v>勝ち</v>
      </c>
      <c r="AA49" s="125">
        <f t="shared" si="9"/>
        <v>-0.8329999999999984</v>
      </c>
      <c r="AB49" s="126">
        <f t="shared" si="10"/>
        <v>-83.29999999999984</v>
      </c>
      <c r="AC49" s="137">
        <f t="shared" si="5"/>
        <v>0</v>
      </c>
      <c r="AD49" s="125">
        <f t="shared" si="6"/>
        <v>8329.999999999984</v>
      </c>
      <c r="AE49">
        <f t="shared" si="7"/>
        <v>8329.999999999984</v>
      </c>
    </row>
    <row r="50" spans="1:31" ht="13.5" customHeight="1">
      <c r="A50" s="125">
        <f t="shared" si="1"/>
        <v>46</v>
      </c>
      <c r="B50" s="125">
        <f t="shared" si="8"/>
        <v>1027180</v>
      </c>
      <c r="C50" s="129">
        <f>'ルール＆合計'!$F$3</f>
        <v>0.02</v>
      </c>
      <c r="D50" s="128">
        <f t="shared" si="2"/>
        <v>20543.600000000002</v>
      </c>
      <c r="E50" s="131">
        <v>10000</v>
      </c>
      <c r="F50" s="123" t="s">
        <v>90</v>
      </c>
      <c r="G50" s="123" t="s">
        <v>268</v>
      </c>
      <c r="H50" t="s">
        <v>315</v>
      </c>
      <c r="I50" s="123">
        <v>2014</v>
      </c>
      <c r="J50" s="161">
        <v>41739</v>
      </c>
      <c r="K50" s="131">
        <v>16</v>
      </c>
      <c r="L50">
        <v>101.321</v>
      </c>
      <c r="M50" t="s">
        <v>317</v>
      </c>
      <c r="N50">
        <v>101.972</v>
      </c>
      <c r="P50" s="125">
        <f t="shared" si="3"/>
        <v>65.09999999999962</v>
      </c>
      <c r="Q50" s="138">
        <f t="shared" si="11"/>
        <v>315.56989247312015</v>
      </c>
      <c r="R50" s="125">
        <f t="shared" si="4"/>
        <v>3.11</v>
      </c>
      <c r="S50">
        <v>1</v>
      </c>
      <c r="T50" s="123" t="s">
        <v>268</v>
      </c>
      <c r="U50" s="123">
        <v>2014</v>
      </c>
      <c r="X50">
        <v>101.321</v>
      </c>
      <c r="Y50" t="s">
        <v>214</v>
      </c>
      <c r="Z50" s="124" t="str">
        <f t="shared" si="0"/>
        <v>引分</v>
      </c>
      <c r="AA50" s="125">
        <f t="shared" si="9"/>
        <v>0</v>
      </c>
      <c r="AB50" s="126">
        <f t="shared" si="10"/>
        <v>0</v>
      </c>
      <c r="AC50" s="137">
        <f t="shared" si="5"/>
        <v>0</v>
      </c>
      <c r="AD50" s="125">
        <f t="shared" si="6"/>
        <v>0</v>
      </c>
      <c r="AE50">
        <f t="shared" si="7"/>
        <v>0</v>
      </c>
    </row>
    <row r="51" spans="1:31" ht="13.5" customHeight="1">
      <c r="A51" s="125">
        <f t="shared" si="1"/>
        <v>47</v>
      </c>
      <c r="B51" s="125">
        <f t="shared" si="8"/>
        <v>1027180</v>
      </c>
      <c r="C51" s="129">
        <f>'ルール＆合計'!$F$3</f>
        <v>0.02</v>
      </c>
      <c r="D51" s="128">
        <f t="shared" si="2"/>
        <v>20543.600000000002</v>
      </c>
      <c r="E51" s="131">
        <v>10000</v>
      </c>
      <c r="F51" s="123" t="s">
        <v>90</v>
      </c>
      <c r="G51" s="123" t="s">
        <v>268</v>
      </c>
      <c r="H51" t="s">
        <v>315</v>
      </c>
      <c r="I51" s="123">
        <v>2014</v>
      </c>
      <c r="J51" s="161">
        <v>41744</v>
      </c>
      <c r="K51" s="131">
        <v>16</v>
      </c>
      <c r="L51">
        <v>101.51</v>
      </c>
      <c r="M51" t="s">
        <v>336</v>
      </c>
      <c r="N51">
        <v>101.991</v>
      </c>
      <c r="P51" s="125">
        <f t="shared" si="3"/>
        <v>48.099999999999454</v>
      </c>
      <c r="Q51" s="138">
        <f t="shared" si="11"/>
        <v>427.101871101876</v>
      </c>
      <c r="R51" s="125">
        <f t="shared" si="4"/>
        <v>4.2</v>
      </c>
      <c r="S51">
        <v>1</v>
      </c>
      <c r="T51" s="123" t="s">
        <v>268</v>
      </c>
      <c r="U51" s="123">
        <v>2014</v>
      </c>
      <c r="X51">
        <v>101.51</v>
      </c>
      <c r="Y51" t="s">
        <v>214</v>
      </c>
      <c r="Z51" s="124" t="str">
        <f t="shared" si="0"/>
        <v>引分</v>
      </c>
      <c r="AA51" s="125">
        <f t="shared" si="9"/>
        <v>0</v>
      </c>
      <c r="AB51" s="126">
        <f t="shared" si="10"/>
        <v>0</v>
      </c>
      <c r="AC51" s="137">
        <f t="shared" si="5"/>
        <v>0</v>
      </c>
      <c r="AD51" s="125">
        <f t="shared" si="6"/>
        <v>0</v>
      </c>
      <c r="AE51">
        <f t="shared" si="7"/>
        <v>0</v>
      </c>
    </row>
    <row r="52" spans="1:31" ht="13.5" customHeight="1">
      <c r="A52" s="125">
        <f t="shared" si="1"/>
        <v>48</v>
      </c>
      <c r="B52" s="125">
        <f t="shared" si="8"/>
        <v>1027180</v>
      </c>
      <c r="C52" s="129">
        <f>'ルール＆合計'!$F$3</f>
        <v>0.02</v>
      </c>
      <c r="D52" s="128">
        <f t="shared" si="2"/>
        <v>20543.600000000002</v>
      </c>
      <c r="E52" s="131">
        <v>10000</v>
      </c>
      <c r="F52" s="123" t="s">
        <v>90</v>
      </c>
      <c r="G52" s="123" t="s">
        <v>268</v>
      </c>
      <c r="H52" t="s">
        <v>316</v>
      </c>
      <c r="I52" s="123">
        <v>2014</v>
      </c>
      <c r="J52" s="161" t="s">
        <v>419</v>
      </c>
      <c r="K52" s="131" t="s">
        <v>420</v>
      </c>
      <c r="L52">
        <v>101.939</v>
      </c>
      <c r="M52" t="s">
        <v>333</v>
      </c>
      <c r="N52">
        <v>101.498</v>
      </c>
      <c r="P52" s="125">
        <f t="shared" si="3"/>
        <v>44.09999999999883</v>
      </c>
      <c r="Q52" s="138">
        <f t="shared" si="11"/>
        <v>465.84126984128227</v>
      </c>
      <c r="R52" s="125">
        <f t="shared" si="4"/>
        <v>4.56</v>
      </c>
      <c r="S52">
        <v>1</v>
      </c>
      <c r="T52" s="123" t="s">
        <v>268</v>
      </c>
      <c r="U52" s="123">
        <v>2014</v>
      </c>
      <c r="V52" s="161">
        <v>41752</v>
      </c>
      <c r="W52" s="131">
        <v>8</v>
      </c>
      <c r="X52" s="131">
        <v>102.468</v>
      </c>
      <c r="Y52" t="s">
        <v>383</v>
      </c>
      <c r="Z52" s="124" t="str">
        <f t="shared" si="0"/>
        <v>勝ち</v>
      </c>
      <c r="AA52" s="125">
        <f t="shared" si="9"/>
        <v>0.5290000000000106</v>
      </c>
      <c r="AB52" s="126">
        <f t="shared" si="10"/>
        <v>52.90000000000106</v>
      </c>
      <c r="AC52" s="137">
        <f t="shared" si="5"/>
        <v>0</v>
      </c>
      <c r="AD52" s="125">
        <f t="shared" si="6"/>
        <v>5290.0000000001055</v>
      </c>
      <c r="AE52">
        <f t="shared" si="7"/>
        <v>5290.0000000001055</v>
      </c>
    </row>
    <row r="53" spans="1:31" ht="13.5" customHeight="1">
      <c r="A53" s="125">
        <f t="shared" si="1"/>
        <v>49</v>
      </c>
      <c r="B53" s="125">
        <f t="shared" si="8"/>
        <v>1032470</v>
      </c>
      <c r="C53" s="129">
        <f>'ルール＆合計'!$F$3</f>
        <v>0.02</v>
      </c>
      <c r="D53" s="128">
        <f t="shared" si="2"/>
        <v>20649.4</v>
      </c>
      <c r="E53" s="131">
        <v>10000</v>
      </c>
      <c r="F53" s="123" t="s">
        <v>90</v>
      </c>
      <c r="G53" s="123" t="s">
        <v>268</v>
      </c>
      <c r="H53" t="s">
        <v>412</v>
      </c>
      <c r="I53" s="123">
        <v>2014</v>
      </c>
      <c r="J53" s="174" t="s">
        <v>430</v>
      </c>
      <c r="K53" s="131" t="s">
        <v>422</v>
      </c>
      <c r="L53">
        <v>102.678</v>
      </c>
      <c r="M53" t="s">
        <v>421</v>
      </c>
      <c r="N53">
        <v>102.593</v>
      </c>
      <c r="P53" s="125">
        <f t="shared" si="3"/>
        <v>8.499999999999375</v>
      </c>
      <c r="Q53" s="138">
        <f t="shared" si="11"/>
        <v>2429.341176470767</v>
      </c>
      <c r="R53" s="125">
        <f t="shared" si="4"/>
        <v>23.65</v>
      </c>
      <c r="S53">
        <v>1</v>
      </c>
      <c r="T53" s="123" t="s">
        <v>268</v>
      </c>
      <c r="U53" s="123">
        <v>2014</v>
      </c>
      <c r="V53" s="161">
        <v>41751</v>
      </c>
      <c r="W53" s="131">
        <v>8</v>
      </c>
      <c r="X53">
        <v>102.593</v>
      </c>
      <c r="Y53" t="s">
        <v>97</v>
      </c>
      <c r="Z53" s="124" t="str">
        <f t="shared" si="0"/>
        <v>負け</v>
      </c>
      <c r="AA53" s="125">
        <f t="shared" si="9"/>
        <v>-0.08499999999999375</v>
      </c>
      <c r="AB53" s="126">
        <f t="shared" si="10"/>
        <v>0</v>
      </c>
      <c r="AC53" s="137">
        <f t="shared" si="5"/>
        <v>-8.499999999999375</v>
      </c>
      <c r="AD53" s="125">
        <f t="shared" si="6"/>
        <v>-849.9999999999375</v>
      </c>
      <c r="AE53">
        <f t="shared" si="7"/>
        <v>-849.9999999999375</v>
      </c>
    </row>
    <row r="54" spans="1:31" ht="13.5" customHeight="1">
      <c r="A54" s="125">
        <f t="shared" si="1"/>
        <v>50</v>
      </c>
      <c r="B54" s="125">
        <f t="shared" si="8"/>
        <v>1031620</v>
      </c>
      <c r="C54" s="129">
        <f>'ルール＆合計'!$F$3</f>
        <v>0.02</v>
      </c>
      <c r="D54" s="128">
        <f t="shared" si="2"/>
        <v>20632.4</v>
      </c>
      <c r="E54" s="131">
        <v>10000</v>
      </c>
      <c r="F54" s="123" t="s">
        <v>90</v>
      </c>
      <c r="G54" s="123" t="s">
        <v>268</v>
      </c>
      <c r="H54" t="s">
        <v>412</v>
      </c>
      <c r="I54" s="123">
        <v>2014</v>
      </c>
      <c r="J54" s="174">
        <v>42116</v>
      </c>
      <c r="K54" s="131">
        <v>16</v>
      </c>
      <c r="L54">
        <v>102.661</v>
      </c>
      <c r="M54" t="s">
        <v>423</v>
      </c>
      <c r="N54">
        <v>102.481</v>
      </c>
      <c r="P54" s="125">
        <f t="shared" si="3"/>
        <v>18.000000000000682</v>
      </c>
      <c r="Q54" s="138">
        <f t="shared" si="11"/>
        <v>1146.244444444401</v>
      </c>
      <c r="R54" s="125">
        <f t="shared" si="4"/>
        <v>11.16</v>
      </c>
      <c r="S54">
        <v>1</v>
      </c>
      <c r="T54" s="123" t="s">
        <v>268</v>
      </c>
      <c r="U54" s="123">
        <v>2014</v>
      </c>
      <c r="V54" s="161">
        <v>41752</v>
      </c>
      <c r="W54" s="131">
        <v>8</v>
      </c>
      <c r="X54">
        <v>102.481</v>
      </c>
      <c r="Y54" t="s">
        <v>97</v>
      </c>
      <c r="Z54" s="124" t="str">
        <f t="shared" si="0"/>
        <v>負け</v>
      </c>
      <c r="AA54" s="125">
        <f t="shared" si="9"/>
        <v>-0.18000000000000682</v>
      </c>
      <c r="AB54" s="126">
        <f t="shared" si="10"/>
        <v>0</v>
      </c>
      <c r="AC54" s="137">
        <f t="shared" si="5"/>
        <v>-18.000000000000682</v>
      </c>
      <c r="AD54" s="125">
        <f t="shared" si="6"/>
        <v>-1800.0000000000682</v>
      </c>
      <c r="AE54">
        <f t="shared" si="7"/>
        <v>-1800.0000000000682</v>
      </c>
    </row>
    <row r="55" spans="1:31" ht="13.5" customHeight="1">
      <c r="A55" s="125">
        <f t="shared" si="1"/>
        <v>51</v>
      </c>
      <c r="B55" s="125">
        <f t="shared" si="8"/>
        <v>1029820</v>
      </c>
      <c r="C55" s="129">
        <f>'ルール＆合計'!$F$3</f>
        <v>0.02</v>
      </c>
      <c r="D55" s="128">
        <f t="shared" si="2"/>
        <v>20596.4</v>
      </c>
      <c r="E55" s="131">
        <v>10000</v>
      </c>
      <c r="F55" s="123" t="s">
        <v>90</v>
      </c>
      <c r="G55" s="123" t="s">
        <v>268</v>
      </c>
      <c r="H55" t="s">
        <v>424</v>
      </c>
      <c r="I55" s="123">
        <v>2014</v>
      </c>
      <c r="J55" s="174">
        <v>42117</v>
      </c>
      <c r="K55" s="131" t="s">
        <v>426</v>
      </c>
      <c r="L55">
        <v>102.493</v>
      </c>
      <c r="M55" t="s">
        <v>425</v>
      </c>
      <c r="N55">
        <v>102.674</v>
      </c>
      <c r="P55" s="125">
        <f t="shared" si="3"/>
        <v>18.10000000000116</v>
      </c>
      <c r="Q55" s="138">
        <f t="shared" si="11"/>
        <v>1137.922651933629</v>
      </c>
      <c r="R55" s="125">
        <f t="shared" si="4"/>
        <v>11.1</v>
      </c>
      <c r="S55">
        <v>1</v>
      </c>
      <c r="T55" s="123" t="s">
        <v>268</v>
      </c>
      <c r="U55" s="123">
        <v>2014</v>
      </c>
      <c r="V55" s="161">
        <v>41757</v>
      </c>
      <c r="W55" s="131">
        <v>8</v>
      </c>
      <c r="X55" s="131">
        <v>102.206</v>
      </c>
      <c r="Y55" t="s">
        <v>383</v>
      </c>
      <c r="Z55" s="124" t="str">
        <f t="shared" si="0"/>
        <v>勝ち</v>
      </c>
      <c r="AA55" s="125">
        <f t="shared" si="9"/>
        <v>-0.28699999999999193</v>
      </c>
      <c r="AB55" s="126">
        <f t="shared" si="10"/>
        <v>-28.699999999999193</v>
      </c>
      <c r="AC55" s="137">
        <f t="shared" si="5"/>
        <v>0</v>
      </c>
      <c r="AD55" s="125">
        <f t="shared" si="6"/>
        <v>2869.999999999919</v>
      </c>
      <c r="AE55">
        <f t="shared" si="7"/>
        <v>2869.999999999919</v>
      </c>
    </row>
    <row r="56" spans="1:31" ht="13.5" customHeight="1">
      <c r="A56" s="125">
        <f t="shared" si="1"/>
        <v>52</v>
      </c>
      <c r="B56" s="125">
        <f t="shared" si="8"/>
        <v>1032690</v>
      </c>
      <c r="C56" s="129">
        <f>'ルール＆合計'!$F$3</f>
        <v>0.02</v>
      </c>
      <c r="D56" s="128">
        <f t="shared" si="2"/>
        <v>20653.8</v>
      </c>
      <c r="E56" s="131">
        <v>10000</v>
      </c>
      <c r="F56" s="123" t="s">
        <v>90</v>
      </c>
      <c r="G56" s="123" t="s">
        <v>268</v>
      </c>
      <c r="H56" t="s">
        <v>424</v>
      </c>
      <c r="I56" s="123">
        <v>2014</v>
      </c>
      <c r="J56" s="174" t="s">
        <v>429</v>
      </c>
      <c r="K56" s="131" t="s">
        <v>428</v>
      </c>
      <c r="L56">
        <v>102.082</v>
      </c>
      <c r="M56" t="s">
        <v>427</v>
      </c>
      <c r="N56">
        <v>102.584</v>
      </c>
      <c r="P56" s="125">
        <f t="shared" si="3"/>
        <v>50.200000000000955</v>
      </c>
      <c r="Q56" s="138">
        <f t="shared" si="11"/>
        <v>411.4302788844543</v>
      </c>
      <c r="R56" s="125">
        <f t="shared" si="4"/>
        <v>4.03</v>
      </c>
      <c r="S56">
        <v>1</v>
      </c>
      <c r="T56" s="123" t="s">
        <v>268</v>
      </c>
      <c r="U56" s="123">
        <v>2014</v>
      </c>
      <c r="V56" s="161">
        <v>41758</v>
      </c>
      <c r="W56" s="131">
        <v>8</v>
      </c>
      <c r="X56">
        <v>102.584</v>
      </c>
      <c r="Y56" t="s">
        <v>97</v>
      </c>
      <c r="Z56" s="124" t="str">
        <f t="shared" si="0"/>
        <v>負け</v>
      </c>
      <c r="AA56" s="125">
        <f t="shared" si="9"/>
        <v>0.5020000000000095</v>
      </c>
      <c r="AB56" s="126">
        <f t="shared" si="10"/>
        <v>0</v>
      </c>
      <c r="AC56" s="137">
        <f t="shared" si="5"/>
        <v>50.200000000000955</v>
      </c>
      <c r="AD56" s="125">
        <f t="shared" si="6"/>
        <v>-5020.0000000000955</v>
      </c>
      <c r="AE56">
        <f t="shared" si="7"/>
        <v>-5020.0000000000955</v>
      </c>
    </row>
    <row r="57" spans="1:31" ht="13.5" customHeight="1">
      <c r="A57" s="125">
        <f t="shared" si="1"/>
        <v>53</v>
      </c>
      <c r="B57" s="125">
        <f t="shared" si="8"/>
        <v>1027670</v>
      </c>
      <c r="C57" s="129">
        <f>'ルール＆合計'!$F$3</f>
        <v>0.02</v>
      </c>
      <c r="D57" s="128">
        <f t="shared" si="2"/>
        <v>20553.4</v>
      </c>
      <c r="E57" s="131">
        <v>10000</v>
      </c>
      <c r="F57" s="123" t="s">
        <v>90</v>
      </c>
      <c r="G57" s="123" t="s">
        <v>268</v>
      </c>
      <c r="H57" t="s">
        <v>412</v>
      </c>
      <c r="I57" s="123">
        <v>2014</v>
      </c>
      <c r="J57" s="174" t="s">
        <v>432</v>
      </c>
      <c r="K57" s="131" t="s">
        <v>343</v>
      </c>
      <c r="L57">
        <v>102.539</v>
      </c>
      <c r="M57" t="s">
        <v>431</v>
      </c>
      <c r="N57">
        <v>102.263</v>
      </c>
      <c r="P57" s="125">
        <f t="shared" si="3"/>
        <v>27.599999999999625</v>
      </c>
      <c r="Q57" s="138">
        <f t="shared" si="11"/>
        <v>744.6884057971116</v>
      </c>
      <c r="R57" s="125">
        <f t="shared" si="4"/>
        <v>7.26</v>
      </c>
      <c r="S57">
        <v>1</v>
      </c>
      <c r="T57" s="123" t="s">
        <v>268</v>
      </c>
      <c r="U57" s="123">
        <v>2014</v>
      </c>
      <c r="V57" s="161">
        <v>41753</v>
      </c>
      <c r="W57" s="131">
        <v>16</v>
      </c>
      <c r="X57">
        <v>102.263</v>
      </c>
      <c r="Y57" t="s">
        <v>97</v>
      </c>
      <c r="Z57" s="124" t="str">
        <f t="shared" si="0"/>
        <v>負け</v>
      </c>
      <c r="AA57" s="125">
        <f t="shared" si="9"/>
        <v>-0.27599999999999625</v>
      </c>
      <c r="AB57" s="126">
        <f t="shared" si="10"/>
        <v>0</v>
      </c>
      <c r="AC57" s="137">
        <f t="shared" si="5"/>
        <v>-27.599999999999625</v>
      </c>
      <c r="AD57" s="125">
        <f t="shared" si="6"/>
        <v>-2759.9999999999627</v>
      </c>
      <c r="AE57">
        <f t="shared" si="7"/>
        <v>-2759.9999999999627</v>
      </c>
    </row>
    <row r="58" spans="1:31" ht="13.5" customHeight="1">
      <c r="A58" s="125">
        <f t="shared" si="1"/>
        <v>54</v>
      </c>
      <c r="B58" s="125">
        <f t="shared" si="8"/>
        <v>1024910</v>
      </c>
      <c r="C58" s="129">
        <f>'ルール＆合計'!$F$3</f>
        <v>0.02</v>
      </c>
      <c r="D58" s="128">
        <f t="shared" si="2"/>
        <v>20498.2</v>
      </c>
      <c r="E58" s="131">
        <v>10000</v>
      </c>
      <c r="F58" s="123" t="s">
        <v>90</v>
      </c>
      <c r="G58" s="123" t="s">
        <v>268</v>
      </c>
      <c r="H58" t="s">
        <v>424</v>
      </c>
      <c r="I58" s="123">
        <v>2014</v>
      </c>
      <c r="J58" s="174" t="s">
        <v>435</v>
      </c>
      <c r="K58" s="131" t="s">
        <v>433</v>
      </c>
      <c r="L58">
        <v>102.082</v>
      </c>
      <c r="M58" t="s">
        <v>434</v>
      </c>
      <c r="N58">
        <v>102.584</v>
      </c>
      <c r="P58" s="125">
        <f t="shared" si="3"/>
        <v>50.200000000000955</v>
      </c>
      <c r="Q58" s="138">
        <f t="shared" si="11"/>
        <v>408.3306772908289</v>
      </c>
      <c r="R58" s="125">
        <f t="shared" si="4"/>
        <v>4</v>
      </c>
      <c r="S58">
        <v>1</v>
      </c>
      <c r="T58" s="123" t="s">
        <v>268</v>
      </c>
      <c r="U58" s="123">
        <v>2014</v>
      </c>
      <c r="V58" s="161">
        <v>41757</v>
      </c>
      <c r="W58" s="131">
        <v>16</v>
      </c>
      <c r="X58">
        <v>102.584</v>
      </c>
      <c r="Y58" t="s">
        <v>97</v>
      </c>
      <c r="Z58" s="124" t="str">
        <f t="shared" si="0"/>
        <v>負け</v>
      </c>
      <c r="AA58" s="125">
        <f t="shared" si="9"/>
        <v>0.5020000000000095</v>
      </c>
      <c r="AB58" s="126">
        <f t="shared" si="10"/>
        <v>0</v>
      </c>
      <c r="AC58" s="137">
        <f t="shared" si="5"/>
        <v>50.200000000000955</v>
      </c>
      <c r="AD58" s="125">
        <f t="shared" si="6"/>
        <v>-5020.0000000000955</v>
      </c>
      <c r="AE58">
        <f t="shared" si="7"/>
        <v>-5020.0000000000955</v>
      </c>
    </row>
    <row r="59" spans="1:33" ht="13.5" customHeight="1">
      <c r="A59" s="125">
        <f t="shared" si="1"/>
        <v>55</v>
      </c>
      <c r="B59" s="125">
        <f t="shared" si="8"/>
        <v>1019890</v>
      </c>
      <c r="C59" s="129">
        <f>'ルール＆合計'!$F$3</f>
        <v>0.02</v>
      </c>
      <c r="D59" s="128">
        <f t="shared" si="2"/>
        <v>20397.8</v>
      </c>
      <c r="E59" s="131">
        <v>10000</v>
      </c>
      <c r="F59" s="123" t="s">
        <v>90</v>
      </c>
      <c r="G59" s="123" t="s">
        <v>268</v>
      </c>
      <c r="H59" t="s">
        <v>412</v>
      </c>
      <c r="I59" s="123">
        <v>2014</v>
      </c>
      <c r="J59" t="s">
        <v>437</v>
      </c>
      <c r="K59" s="131" t="s">
        <v>438</v>
      </c>
      <c r="L59">
        <v>102.624</v>
      </c>
      <c r="M59" t="s">
        <v>436</v>
      </c>
      <c r="N59">
        <v>102.225</v>
      </c>
      <c r="P59" s="125">
        <f t="shared" si="3"/>
        <v>39.90000000000009</v>
      </c>
      <c r="Q59" s="138">
        <f t="shared" si="11"/>
        <v>511.2230576441091</v>
      </c>
      <c r="R59" s="125">
        <f t="shared" si="4"/>
        <v>4.98</v>
      </c>
      <c r="S59">
        <v>1</v>
      </c>
      <c r="T59" s="123" t="s">
        <v>268</v>
      </c>
      <c r="U59" s="123">
        <v>2014</v>
      </c>
      <c r="V59" s="161">
        <v>41759</v>
      </c>
      <c r="W59" s="131">
        <v>12</v>
      </c>
      <c r="X59">
        <v>102.479</v>
      </c>
      <c r="Y59" t="s">
        <v>97</v>
      </c>
      <c r="Z59" s="124" t="str">
        <f t="shared" si="0"/>
        <v>負け</v>
      </c>
      <c r="AA59" s="125">
        <f t="shared" si="9"/>
        <v>-0.14499999999999602</v>
      </c>
      <c r="AB59" s="126">
        <f t="shared" si="10"/>
        <v>0</v>
      </c>
      <c r="AC59" s="137">
        <f t="shared" si="5"/>
        <v>-14.499999999999602</v>
      </c>
      <c r="AD59" s="125">
        <f t="shared" si="6"/>
        <v>-1449.9999999999602</v>
      </c>
      <c r="AE59">
        <f t="shared" si="7"/>
        <v>-1449.9999999999602</v>
      </c>
      <c r="AG59" t="s">
        <v>439</v>
      </c>
    </row>
    <row r="60" spans="1:33" ht="13.5" customHeight="1">
      <c r="A60" s="125">
        <f t="shared" si="1"/>
        <v>56</v>
      </c>
      <c r="B60" s="125">
        <f t="shared" si="8"/>
        <v>1018440</v>
      </c>
      <c r="C60" s="129">
        <f>'ルール＆合計'!$F$3</f>
        <v>0.02</v>
      </c>
      <c r="D60" s="128">
        <f t="shared" si="2"/>
        <v>20368.8</v>
      </c>
      <c r="E60" s="131">
        <v>10000</v>
      </c>
      <c r="F60" s="123" t="s">
        <v>90</v>
      </c>
      <c r="G60" s="123" t="s">
        <v>268</v>
      </c>
      <c r="H60" t="s">
        <v>412</v>
      </c>
      <c r="I60" s="123">
        <v>2014</v>
      </c>
      <c r="J60" s="174">
        <v>42123</v>
      </c>
      <c r="K60" s="131" t="s">
        <v>401</v>
      </c>
      <c r="L60">
        <v>102.669</v>
      </c>
      <c r="M60" t="s">
        <v>440</v>
      </c>
      <c r="N60">
        <v>102.479</v>
      </c>
      <c r="P60" s="125">
        <f t="shared" si="3"/>
        <v>18.999999999999773</v>
      </c>
      <c r="Q60" s="138">
        <f t="shared" si="11"/>
        <v>1072.0421052631707</v>
      </c>
      <c r="R60" s="125">
        <f t="shared" si="4"/>
        <v>10.44</v>
      </c>
      <c r="S60">
        <v>1</v>
      </c>
      <c r="T60" s="123" t="s">
        <v>268</v>
      </c>
      <c r="U60" s="123">
        <v>2014</v>
      </c>
      <c r="V60" s="161">
        <v>41759</v>
      </c>
      <c r="W60" s="131">
        <v>4</v>
      </c>
      <c r="X60">
        <v>102.479</v>
      </c>
      <c r="Y60" t="s">
        <v>97</v>
      </c>
      <c r="Z60" s="124" t="str">
        <f t="shared" si="0"/>
        <v>負け</v>
      </c>
      <c r="AA60" s="125">
        <f t="shared" si="9"/>
        <v>-0.18999999999999773</v>
      </c>
      <c r="AB60" s="126">
        <f t="shared" si="10"/>
        <v>0</v>
      </c>
      <c r="AC60" s="137">
        <f t="shared" si="5"/>
        <v>-18.999999999999773</v>
      </c>
      <c r="AD60" s="125">
        <f t="shared" si="6"/>
        <v>-1899.9999999999773</v>
      </c>
      <c r="AE60">
        <f t="shared" si="7"/>
        <v>-1899.9999999999773</v>
      </c>
      <c r="AG60" t="s">
        <v>439</v>
      </c>
    </row>
    <row r="61" spans="1:33" ht="13.5" customHeight="1">
      <c r="A61" s="125">
        <f t="shared" si="1"/>
        <v>57</v>
      </c>
      <c r="B61" s="125">
        <f t="shared" si="8"/>
        <v>1016540</v>
      </c>
      <c r="C61" s="129">
        <f>'ルール＆合計'!$F$3</f>
        <v>0.02</v>
      </c>
      <c r="D61" s="128">
        <f t="shared" si="2"/>
        <v>20330.8</v>
      </c>
      <c r="E61" s="131">
        <v>10000</v>
      </c>
      <c r="F61" s="123" t="s">
        <v>90</v>
      </c>
      <c r="G61" s="123" t="s">
        <v>268</v>
      </c>
      <c r="H61" t="s">
        <v>424</v>
      </c>
      <c r="I61" s="123">
        <v>2014</v>
      </c>
      <c r="J61" s="174" t="s">
        <v>442</v>
      </c>
      <c r="K61" s="131" t="s">
        <v>443</v>
      </c>
      <c r="L61">
        <v>102.504</v>
      </c>
      <c r="M61" t="s">
        <v>441</v>
      </c>
      <c r="N61">
        <v>102.709</v>
      </c>
      <c r="P61" s="125">
        <f t="shared" si="3"/>
        <v>20.49999999999983</v>
      </c>
      <c r="Q61" s="138">
        <f t="shared" si="11"/>
        <v>991.7463414634228</v>
      </c>
      <c r="R61" s="125">
        <f t="shared" si="4"/>
        <v>9.67</v>
      </c>
      <c r="S61">
        <v>1</v>
      </c>
      <c r="T61" s="123" t="s">
        <v>268</v>
      </c>
      <c r="U61" s="123">
        <v>2014</v>
      </c>
      <c r="V61" s="161">
        <v>41761</v>
      </c>
      <c r="W61" s="131">
        <v>12</v>
      </c>
      <c r="X61" s="131">
        <v>102.64</v>
      </c>
      <c r="Y61" t="s">
        <v>97</v>
      </c>
      <c r="Z61" s="124" t="str">
        <f t="shared" si="0"/>
        <v>負け</v>
      </c>
      <c r="AA61" s="125">
        <f t="shared" si="9"/>
        <v>0.13599999999999568</v>
      </c>
      <c r="AB61" s="126">
        <f t="shared" si="10"/>
        <v>0</v>
      </c>
      <c r="AC61" s="137">
        <f t="shared" si="5"/>
        <v>13.599999999999568</v>
      </c>
      <c r="AD61" s="125">
        <f t="shared" si="6"/>
        <v>-1359.9999999999568</v>
      </c>
      <c r="AE61">
        <f t="shared" si="7"/>
        <v>-1359.9999999999568</v>
      </c>
      <c r="AG61" t="s">
        <v>444</v>
      </c>
    </row>
    <row r="62" spans="1:33" ht="13.5" customHeight="1">
      <c r="A62" s="125">
        <f t="shared" si="1"/>
        <v>58</v>
      </c>
      <c r="B62" s="125">
        <f t="shared" si="8"/>
        <v>1015180</v>
      </c>
      <c r="C62" s="129">
        <f>'ルール＆合計'!$F$3</f>
        <v>0.02</v>
      </c>
      <c r="D62" s="128">
        <f t="shared" si="2"/>
        <v>20303.600000000002</v>
      </c>
      <c r="E62" s="131">
        <v>10000</v>
      </c>
      <c r="F62" s="123" t="s">
        <v>90</v>
      </c>
      <c r="G62" s="123" t="s">
        <v>268</v>
      </c>
      <c r="H62" t="s">
        <v>424</v>
      </c>
      <c r="I62" s="123">
        <v>2014</v>
      </c>
      <c r="J62" s="174" t="s">
        <v>445</v>
      </c>
      <c r="K62" s="131" t="s">
        <v>399</v>
      </c>
      <c r="L62">
        <v>102.534</v>
      </c>
      <c r="M62" t="s">
        <v>441</v>
      </c>
      <c r="N62">
        <v>102.651</v>
      </c>
      <c r="P62" s="125">
        <f t="shared" si="3"/>
        <v>11.699999999999022</v>
      </c>
      <c r="Q62" s="138">
        <f t="shared" si="11"/>
        <v>1735.3504273505725</v>
      </c>
      <c r="R62" s="125">
        <f t="shared" si="4"/>
        <v>16.92</v>
      </c>
      <c r="S62">
        <v>1</v>
      </c>
      <c r="T62" s="123" t="s">
        <v>268</v>
      </c>
      <c r="U62" s="123">
        <v>2014</v>
      </c>
      <c r="V62" s="161">
        <v>41761</v>
      </c>
      <c r="W62" s="131">
        <v>12</v>
      </c>
      <c r="X62">
        <v>102.651</v>
      </c>
      <c r="Y62" t="s">
        <v>97</v>
      </c>
      <c r="Z62" s="124" t="str">
        <f t="shared" si="0"/>
        <v>負け</v>
      </c>
      <c r="AA62" s="125">
        <f t="shared" si="9"/>
        <v>0.11699999999999022</v>
      </c>
      <c r="AB62" s="126">
        <f t="shared" si="10"/>
        <v>0</v>
      </c>
      <c r="AC62" s="137">
        <f t="shared" si="5"/>
        <v>11.699999999999022</v>
      </c>
      <c r="AD62" s="125">
        <f t="shared" si="6"/>
        <v>-1169.9999999999022</v>
      </c>
      <c r="AE62">
        <f t="shared" si="7"/>
        <v>-1169.9999999999022</v>
      </c>
      <c r="AG62" t="s">
        <v>446</v>
      </c>
    </row>
    <row r="63" spans="1:33" ht="13.5" customHeight="1">
      <c r="A63" s="125">
        <f t="shared" si="1"/>
        <v>59</v>
      </c>
      <c r="B63" s="125">
        <f t="shared" si="8"/>
        <v>1014010</v>
      </c>
      <c r="C63" s="129">
        <f>'ルール＆合計'!$F$3</f>
        <v>0.02</v>
      </c>
      <c r="D63" s="128">
        <f t="shared" si="2"/>
        <v>20280.2</v>
      </c>
      <c r="E63" s="131">
        <v>10000</v>
      </c>
      <c r="F63" s="123" t="s">
        <v>90</v>
      </c>
      <c r="G63" s="123" t="s">
        <v>268</v>
      </c>
      <c r="H63" t="s">
        <v>424</v>
      </c>
      <c r="I63" s="123">
        <v>2014</v>
      </c>
      <c r="J63" s="174" t="s">
        <v>448</v>
      </c>
      <c r="K63" s="131" t="s">
        <v>415</v>
      </c>
      <c r="L63">
        <v>102.64</v>
      </c>
      <c r="M63" t="s">
        <v>447</v>
      </c>
      <c r="N63">
        <v>102.203</v>
      </c>
      <c r="P63" s="125">
        <f t="shared" si="3"/>
        <v>43.69999999999976</v>
      </c>
      <c r="Q63" s="138">
        <f t="shared" si="11"/>
        <v>464.0778032036639</v>
      </c>
      <c r="R63" s="125">
        <f t="shared" si="4"/>
        <v>4.52</v>
      </c>
      <c r="S63">
        <v>1</v>
      </c>
      <c r="T63" s="123" t="s">
        <v>268</v>
      </c>
      <c r="U63" s="123">
        <v>2014</v>
      </c>
      <c r="V63" s="161">
        <v>41761</v>
      </c>
      <c r="W63" s="131">
        <v>12</v>
      </c>
      <c r="X63">
        <v>102.203</v>
      </c>
      <c r="Y63" t="s">
        <v>97</v>
      </c>
      <c r="Z63" s="124" t="str">
        <f t="shared" si="0"/>
        <v>勝ち</v>
      </c>
      <c r="AA63" s="125">
        <f t="shared" si="9"/>
        <v>-0.4369999999999976</v>
      </c>
      <c r="AB63" s="126">
        <f t="shared" si="10"/>
        <v>-43.69999999999976</v>
      </c>
      <c r="AC63" s="137">
        <f t="shared" si="5"/>
        <v>0</v>
      </c>
      <c r="AD63" s="125">
        <f t="shared" si="6"/>
        <v>4369.999999999976</v>
      </c>
      <c r="AE63">
        <f t="shared" si="7"/>
        <v>4369.999999999976</v>
      </c>
      <c r="AG63" t="s">
        <v>439</v>
      </c>
    </row>
    <row r="64" spans="1:33" ht="13.5" customHeight="1">
      <c r="A64" s="125">
        <f t="shared" si="1"/>
        <v>60</v>
      </c>
      <c r="B64" s="125">
        <f t="shared" si="8"/>
        <v>1018380</v>
      </c>
      <c r="C64" s="129">
        <f>'ルール＆合計'!$F$3</f>
        <v>0.02</v>
      </c>
      <c r="D64" s="128">
        <f t="shared" si="2"/>
        <v>20367.600000000002</v>
      </c>
      <c r="E64" s="131">
        <v>10000</v>
      </c>
      <c r="F64" s="123" t="s">
        <v>90</v>
      </c>
      <c r="G64" s="123" t="s">
        <v>268</v>
      </c>
      <c r="H64" t="s">
        <v>412</v>
      </c>
      <c r="I64" s="123">
        <v>2014</v>
      </c>
      <c r="J64" s="174" t="s">
        <v>450</v>
      </c>
      <c r="K64" s="131" t="s">
        <v>451</v>
      </c>
      <c r="L64">
        <v>102.352</v>
      </c>
      <c r="M64" t="s">
        <v>449</v>
      </c>
      <c r="N64">
        <v>102.17</v>
      </c>
      <c r="P64" s="125">
        <f t="shared" si="3"/>
        <v>18.200000000000216</v>
      </c>
      <c r="Q64" s="138">
        <f t="shared" si="11"/>
        <v>1119.0989010988878</v>
      </c>
      <c r="R64" s="125">
        <f t="shared" si="4"/>
        <v>10.93</v>
      </c>
      <c r="S64">
        <v>1</v>
      </c>
      <c r="T64" s="123" t="s">
        <v>268</v>
      </c>
      <c r="U64" s="123">
        <v>2014</v>
      </c>
      <c r="V64" s="161">
        <v>41761</v>
      </c>
      <c r="W64" s="131">
        <v>16</v>
      </c>
      <c r="X64" s="131">
        <v>102.313</v>
      </c>
      <c r="Y64" t="s">
        <v>97</v>
      </c>
      <c r="Z64" s="124" t="str">
        <f t="shared" si="0"/>
        <v>負け</v>
      </c>
      <c r="AA64" s="125">
        <f t="shared" si="9"/>
        <v>-0.03900000000000148</v>
      </c>
      <c r="AB64" s="126">
        <f t="shared" si="10"/>
        <v>0</v>
      </c>
      <c r="AC64" s="137">
        <f t="shared" si="5"/>
        <v>-3.900000000000148</v>
      </c>
      <c r="AD64" s="125">
        <f t="shared" si="6"/>
        <v>-390.0000000000148</v>
      </c>
      <c r="AE64">
        <f t="shared" si="7"/>
        <v>-390.0000000000148</v>
      </c>
      <c r="AG64" t="s">
        <v>439</v>
      </c>
    </row>
    <row r="65" spans="1:33" ht="13.5" customHeight="1">
      <c r="A65" s="125">
        <f t="shared" si="1"/>
        <v>61</v>
      </c>
      <c r="B65" s="125">
        <f t="shared" si="8"/>
        <v>1017990</v>
      </c>
      <c r="C65" s="129">
        <f>'ルール＆合計'!$F$3</f>
        <v>0.02</v>
      </c>
      <c r="D65" s="128">
        <f t="shared" si="2"/>
        <v>20359.8</v>
      </c>
      <c r="E65" s="131">
        <v>10000</v>
      </c>
      <c r="F65" s="123" t="s">
        <v>90</v>
      </c>
      <c r="G65" s="123" t="s">
        <v>268</v>
      </c>
      <c r="H65" t="s">
        <v>424</v>
      </c>
      <c r="I65" s="123">
        <v>2014</v>
      </c>
      <c r="J65" s="174" t="s">
        <v>454</v>
      </c>
      <c r="K65" s="131" t="s">
        <v>455</v>
      </c>
      <c r="L65">
        <v>102.129</v>
      </c>
      <c r="M65" t="s">
        <v>427</v>
      </c>
      <c r="N65">
        <v>102.87</v>
      </c>
      <c r="P65" s="125">
        <f t="shared" si="3"/>
        <v>74.09999999999997</v>
      </c>
      <c r="Q65" s="138">
        <f t="shared" si="11"/>
        <v>274.761133603239</v>
      </c>
      <c r="R65" s="125">
        <f t="shared" si="4"/>
        <v>2.69</v>
      </c>
      <c r="S65">
        <v>1</v>
      </c>
      <c r="T65" s="123" t="s">
        <v>268</v>
      </c>
      <c r="U65" s="123">
        <v>2014</v>
      </c>
      <c r="V65" s="161">
        <v>41771</v>
      </c>
      <c r="W65" s="131">
        <v>0</v>
      </c>
      <c r="X65" s="131">
        <v>101.956</v>
      </c>
      <c r="Y65" t="s">
        <v>452</v>
      </c>
      <c r="Z65" s="124" t="str">
        <f t="shared" si="0"/>
        <v>勝ち</v>
      </c>
      <c r="AA65" s="125">
        <f t="shared" si="9"/>
        <v>-0.17300000000000182</v>
      </c>
      <c r="AB65" s="126">
        <f t="shared" si="10"/>
        <v>-17.300000000000182</v>
      </c>
      <c r="AC65" s="137">
        <f t="shared" si="5"/>
        <v>0</v>
      </c>
      <c r="AD65" s="125">
        <f t="shared" si="6"/>
        <v>1730.0000000000182</v>
      </c>
      <c r="AE65">
        <f t="shared" si="7"/>
        <v>1730.0000000000182</v>
      </c>
      <c r="AG65" t="s">
        <v>453</v>
      </c>
    </row>
    <row r="66" spans="1:33" ht="13.5" customHeight="1">
      <c r="A66" s="125">
        <f t="shared" si="1"/>
        <v>62</v>
      </c>
      <c r="B66" s="125">
        <f t="shared" si="8"/>
        <v>1019720</v>
      </c>
      <c r="C66" s="129">
        <f>'ルール＆合計'!$F$3</f>
        <v>0.02</v>
      </c>
      <c r="D66" s="128">
        <f t="shared" si="2"/>
        <v>20394.4</v>
      </c>
      <c r="E66" s="131">
        <v>10000</v>
      </c>
      <c r="F66" s="123" t="s">
        <v>90</v>
      </c>
      <c r="G66" s="123" t="s">
        <v>268</v>
      </c>
      <c r="H66" t="s">
        <v>412</v>
      </c>
      <c r="I66" s="123">
        <v>2014</v>
      </c>
      <c r="J66" s="174" t="s">
        <v>456</v>
      </c>
      <c r="K66" s="203" t="s">
        <v>457</v>
      </c>
      <c r="L66">
        <v>101.692</v>
      </c>
      <c r="M66" t="s">
        <v>449</v>
      </c>
      <c r="N66">
        <v>101.49</v>
      </c>
      <c r="P66" s="125">
        <f t="shared" si="3"/>
        <v>20.199999999999818</v>
      </c>
      <c r="Q66" s="138">
        <f t="shared" si="11"/>
        <v>1009.6237623762468</v>
      </c>
      <c r="R66" s="125">
        <f t="shared" si="4"/>
        <v>9.92</v>
      </c>
      <c r="S66">
        <v>1</v>
      </c>
      <c r="T66" s="123" t="s">
        <v>268</v>
      </c>
      <c r="U66" s="123">
        <v>2014</v>
      </c>
      <c r="V66" s="161">
        <v>41766</v>
      </c>
      <c r="W66" s="131">
        <v>8</v>
      </c>
      <c r="X66">
        <v>101.49</v>
      </c>
      <c r="Y66" t="s">
        <v>97</v>
      </c>
      <c r="Z66" s="124" t="str">
        <f t="shared" si="0"/>
        <v>負け</v>
      </c>
      <c r="AA66" s="125">
        <f t="shared" si="9"/>
        <v>-0.20199999999999818</v>
      </c>
      <c r="AB66" s="126">
        <f t="shared" si="10"/>
        <v>0</v>
      </c>
      <c r="AC66" s="137">
        <f t="shared" si="5"/>
        <v>-20.199999999999818</v>
      </c>
      <c r="AD66" s="125">
        <f t="shared" si="6"/>
        <v>-2019.9999999999818</v>
      </c>
      <c r="AE66">
        <f t="shared" si="7"/>
        <v>-2019.9999999999818</v>
      </c>
      <c r="AG66" t="s">
        <v>458</v>
      </c>
    </row>
    <row r="67" spans="1:33" ht="13.5" customHeight="1">
      <c r="A67" s="125">
        <f t="shared" si="1"/>
        <v>63</v>
      </c>
      <c r="B67" s="125">
        <f t="shared" si="8"/>
        <v>1017700</v>
      </c>
      <c r="C67" s="129">
        <f>'ルール＆合計'!$F$3</f>
        <v>0.02</v>
      </c>
      <c r="D67" s="128">
        <f t="shared" si="2"/>
        <v>20354</v>
      </c>
      <c r="E67" s="131">
        <v>10000</v>
      </c>
      <c r="F67" s="123" t="s">
        <v>90</v>
      </c>
      <c r="G67" s="123" t="s">
        <v>268</v>
      </c>
      <c r="H67" t="s">
        <v>412</v>
      </c>
      <c r="I67" s="123">
        <v>2014</v>
      </c>
      <c r="J67" s="174" t="s">
        <v>460</v>
      </c>
      <c r="K67" s="131" t="s">
        <v>415</v>
      </c>
      <c r="L67">
        <v>101.835</v>
      </c>
      <c r="M67" t="s">
        <v>459</v>
      </c>
      <c r="N67">
        <v>101.508</v>
      </c>
      <c r="P67" s="125">
        <f t="shared" si="3"/>
        <v>32.69999999999982</v>
      </c>
      <c r="Q67" s="138">
        <f t="shared" si="11"/>
        <v>622.4464831804316</v>
      </c>
      <c r="R67" s="125">
        <f t="shared" si="4"/>
        <v>6.11</v>
      </c>
      <c r="S67">
        <v>1</v>
      </c>
      <c r="T67" s="123" t="s">
        <v>268</v>
      </c>
      <c r="U67" s="123">
        <v>2014</v>
      </c>
      <c r="V67" s="161">
        <v>41767</v>
      </c>
      <c r="W67" s="131">
        <v>16</v>
      </c>
      <c r="X67">
        <v>101.575</v>
      </c>
      <c r="Y67" t="s">
        <v>452</v>
      </c>
      <c r="Z67" s="124" t="str">
        <f t="shared" si="0"/>
        <v>負け</v>
      </c>
      <c r="AA67" s="125">
        <f t="shared" si="9"/>
        <v>-0.2599999999999909</v>
      </c>
      <c r="AB67" s="126">
        <f t="shared" si="10"/>
        <v>0</v>
      </c>
      <c r="AC67" s="137">
        <f t="shared" si="5"/>
        <v>-25.99999999999909</v>
      </c>
      <c r="AD67" s="125">
        <f t="shared" si="6"/>
        <v>-2599.999999999909</v>
      </c>
      <c r="AE67">
        <f t="shared" si="7"/>
        <v>-2599.999999999909</v>
      </c>
      <c r="AG67" t="s">
        <v>461</v>
      </c>
    </row>
    <row r="68" spans="1:33" ht="13.5" customHeight="1">
      <c r="A68" s="125">
        <f t="shared" si="1"/>
        <v>64</v>
      </c>
      <c r="B68" s="125">
        <f t="shared" si="8"/>
        <v>1015100</v>
      </c>
      <c r="C68" s="129">
        <f>'ルール＆合計'!$F$3</f>
        <v>0.02</v>
      </c>
      <c r="D68" s="128">
        <f t="shared" si="2"/>
        <v>20302</v>
      </c>
      <c r="E68" s="131">
        <v>10000</v>
      </c>
      <c r="F68" s="123" t="s">
        <v>90</v>
      </c>
      <c r="G68" s="123" t="s">
        <v>268</v>
      </c>
      <c r="H68" t="s">
        <v>412</v>
      </c>
      <c r="I68" s="123">
        <v>2014</v>
      </c>
      <c r="J68" s="174" t="s">
        <v>463</v>
      </c>
      <c r="K68" s="203" t="s">
        <v>464</v>
      </c>
      <c r="L68">
        <v>101.942</v>
      </c>
      <c r="M68" t="s">
        <v>423</v>
      </c>
      <c r="N68">
        <v>101.792</v>
      </c>
      <c r="P68" s="125">
        <f t="shared" si="3"/>
        <v>14.999999999999147</v>
      </c>
      <c r="Q68" s="138">
        <f t="shared" si="11"/>
        <v>1353.4666666667435</v>
      </c>
      <c r="R68" s="125">
        <f t="shared" si="4"/>
        <v>13.27</v>
      </c>
      <c r="S68">
        <v>1</v>
      </c>
      <c r="T68" s="123" t="s">
        <v>268</v>
      </c>
      <c r="U68" s="123">
        <v>2014</v>
      </c>
      <c r="V68" s="161">
        <v>41767</v>
      </c>
      <c r="W68" s="131">
        <v>16</v>
      </c>
      <c r="X68">
        <v>101.792</v>
      </c>
      <c r="Y68" t="s">
        <v>97</v>
      </c>
      <c r="Z68" s="124" t="str">
        <f t="shared" si="0"/>
        <v>負け</v>
      </c>
      <c r="AA68" s="125">
        <f t="shared" si="9"/>
        <v>-0.14999999999999147</v>
      </c>
      <c r="AB68" s="126">
        <f t="shared" si="10"/>
        <v>0</v>
      </c>
      <c r="AC68" s="137">
        <f t="shared" si="5"/>
        <v>-14.999999999999147</v>
      </c>
      <c r="AD68" s="125">
        <f t="shared" si="6"/>
        <v>-1499.9999999999147</v>
      </c>
      <c r="AE68">
        <f t="shared" si="7"/>
        <v>-1499.9999999999147</v>
      </c>
      <c r="AG68" t="s">
        <v>462</v>
      </c>
    </row>
    <row r="69" spans="1:33" ht="13.5" customHeight="1">
      <c r="A69" s="125">
        <f t="shared" si="1"/>
        <v>65</v>
      </c>
      <c r="B69" s="125">
        <f t="shared" si="8"/>
        <v>1013600</v>
      </c>
      <c r="C69" s="129">
        <f>'ルール＆合計'!$F$3</f>
        <v>0.02</v>
      </c>
      <c r="D69" s="128">
        <f t="shared" si="2"/>
        <v>20272</v>
      </c>
      <c r="E69" s="131">
        <v>10000</v>
      </c>
      <c r="F69" s="123" t="s">
        <v>90</v>
      </c>
      <c r="G69" s="123" t="s">
        <v>268</v>
      </c>
      <c r="H69" t="s">
        <v>424</v>
      </c>
      <c r="I69" s="123">
        <v>2014</v>
      </c>
      <c r="J69" s="174" t="s">
        <v>465</v>
      </c>
      <c r="K69" s="131" t="s">
        <v>466</v>
      </c>
      <c r="L69">
        <v>102.015</v>
      </c>
      <c r="M69" t="s">
        <v>441</v>
      </c>
      <c r="N69">
        <v>102.354</v>
      </c>
      <c r="P69" s="125">
        <f t="shared" si="3"/>
        <v>33.899999999999864</v>
      </c>
      <c r="Q69" s="138">
        <f t="shared" si="11"/>
        <v>597.9941002949877</v>
      </c>
      <c r="R69" s="125">
        <f t="shared" si="4"/>
        <v>5.86</v>
      </c>
      <c r="S69">
        <v>1</v>
      </c>
      <c r="T69" s="123" t="s">
        <v>268</v>
      </c>
      <c r="U69" s="123">
        <v>2014</v>
      </c>
      <c r="V69" s="161">
        <v>41774</v>
      </c>
      <c r="W69" s="131">
        <v>8</v>
      </c>
      <c r="X69">
        <v>101.937</v>
      </c>
      <c r="Y69" t="s">
        <v>383</v>
      </c>
      <c r="Z69" s="124" t="str">
        <f aca="true" t="shared" si="12" ref="Z69:Z132">IF(H69&lt;&gt;"",IF(H69="買",IF(AA69&gt;0,"勝ち",IF(AA69=0,"引分","負け")),IF(H69="売",IF(AA69&gt;0,"負け",IF(AA69=0,"引分","勝ち")))),"")</f>
        <v>勝ち</v>
      </c>
      <c r="AA69" s="125">
        <f t="shared" si="9"/>
        <v>-0.07800000000000296</v>
      </c>
      <c r="AB69" s="126">
        <f t="shared" si="10"/>
        <v>-7.800000000000296</v>
      </c>
      <c r="AC69" s="137">
        <f t="shared" si="5"/>
        <v>0</v>
      </c>
      <c r="AD69" s="125">
        <f t="shared" si="6"/>
        <v>780.0000000000296</v>
      </c>
      <c r="AE69">
        <f t="shared" si="7"/>
        <v>780.0000000000296</v>
      </c>
      <c r="AG69" t="s">
        <v>467</v>
      </c>
    </row>
    <row r="70" spans="1:33" ht="13.5" customHeight="1">
      <c r="A70" s="125">
        <f aca="true" t="shared" si="13" ref="A70:A133">IF($F70&lt;&gt;"",ROW()-4,"")</f>
        <v>66</v>
      </c>
      <c r="B70" s="125">
        <f t="shared" si="8"/>
        <v>1014380</v>
      </c>
      <c r="C70" s="129">
        <f>'ルール＆合計'!$F$3</f>
        <v>0.02</v>
      </c>
      <c r="D70" s="128">
        <f aca="true" t="shared" si="14" ref="D70:D107">B70*C70</f>
        <v>20287.600000000002</v>
      </c>
      <c r="E70" s="131">
        <v>10000</v>
      </c>
      <c r="F70" s="123" t="s">
        <v>90</v>
      </c>
      <c r="G70" s="123" t="s">
        <v>268</v>
      </c>
      <c r="H70" t="s">
        <v>424</v>
      </c>
      <c r="I70" s="123">
        <v>2014</v>
      </c>
      <c r="J70" s="174" t="s">
        <v>469</v>
      </c>
      <c r="K70" s="131" t="s">
        <v>470</v>
      </c>
      <c r="L70">
        <v>101.304</v>
      </c>
      <c r="M70" t="s">
        <v>468</v>
      </c>
      <c r="N70">
        <v>101.947</v>
      </c>
      <c r="P70" s="125">
        <f aca="true" t="shared" si="15" ref="P70:P107">IF(N70&lt;&gt;"",ABS(N70-L70)/0.01,"")</f>
        <v>64.30000000000007</v>
      </c>
      <c r="Q70" s="138">
        <f t="shared" si="11"/>
        <v>315.5147744945565</v>
      </c>
      <c r="R70" s="125">
        <f aca="true" t="shared" si="16" ref="R70:R107">IF(Q70&lt;&gt;"",ROUNDDOWN(B70*C70/P70/L70,2),"")</f>
        <v>3.11</v>
      </c>
      <c r="S70">
        <v>1</v>
      </c>
      <c r="T70" s="123" t="s">
        <v>268</v>
      </c>
      <c r="U70" s="123">
        <v>2014</v>
      </c>
      <c r="V70" s="161">
        <v>41780</v>
      </c>
      <c r="W70" s="131">
        <v>20</v>
      </c>
      <c r="X70">
        <v>101.598</v>
      </c>
      <c r="Y70" t="s">
        <v>383</v>
      </c>
      <c r="Z70" s="124" t="str">
        <f t="shared" si="12"/>
        <v>負け</v>
      </c>
      <c r="AA70" s="125">
        <f t="shared" si="9"/>
        <v>0.29399999999999693</v>
      </c>
      <c r="AB70" s="126">
        <f t="shared" si="10"/>
        <v>0</v>
      </c>
      <c r="AC70" s="137">
        <f aca="true" t="shared" si="17" ref="AC70:AC107">IF(Z70&lt;&gt;"",IF(Z70="負け",AA70/0.01,0),"")</f>
        <v>29.399999999999693</v>
      </c>
      <c r="AD70" s="125">
        <f aca="true" t="shared" si="18" ref="AD70:AD107">IF(Z70&lt;&gt;"",IF(Z70="勝ち",IF(AA70&gt;0,AA70*E70,ABS(AA70*E70)),IF(Z70="負け",IF(AA70&gt;0,(AA70*E70)*-1,AA70*E70),0)),"")</f>
        <v>-2939.999999999969</v>
      </c>
      <c r="AE70">
        <f aca="true" t="shared" si="19" ref="AE70:AE107">AD70*S70</f>
        <v>-2939.999999999969</v>
      </c>
      <c r="AG70" t="s">
        <v>471</v>
      </c>
    </row>
    <row r="71" spans="1:33" ht="13.5" customHeight="1">
      <c r="A71" s="125">
        <f t="shared" si="13"/>
        <v>67</v>
      </c>
      <c r="B71" s="125">
        <f aca="true" t="shared" si="20" ref="B71:B107">IF(Z70&lt;&gt;"",B70+ROUND(AD70,0),"")</f>
        <v>1011440</v>
      </c>
      <c r="C71" s="129">
        <f>'ルール＆合計'!$F$3</f>
        <v>0.02</v>
      </c>
      <c r="D71" s="128">
        <f t="shared" si="14"/>
        <v>20228.8</v>
      </c>
      <c r="E71" s="131">
        <v>10000</v>
      </c>
      <c r="F71" s="123" t="s">
        <v>90</v>
      </c>
      <c r="G71" s="123" t="s">
        <v>268</v>
      </c>
      <c r="H71" t="s">
        <v>424</v>
      </c>
      <c r="I71" s="123">
        <v>2014</v>
      </c>
      <c r="J71" s="174" t="s">
        <v>473</v>
      </c>
      <c r="K71" s="131" t="s">
        <v>474</v>
      </c>
      <c r="L71">
        <v>101.42</v>
      </c>
      <c r="M71" t="s">
        <v>472</v>
      </c>
      <c r="N71">
        <v>101.641</v>
      </c>
      <c r="P71" s="125">
        <f t="shared" si="15"/>
        <v>22.100000000000364</v>
      </c>
      <c r="Q71" s="138">
        <f t="shared" si="11"/>
        <v>915.3303167420663</v>
      </c>
      <c r="R71" s="125">
        <f t="shared" si="16"/>
        <v>9.02</v>
      </c>
      <c r="S71">
        <v>1</v>
      </c>
      <c r="T71" s="123" t="s">
        <v>268</v>
      </c>
      <c r="U71" s="123">
        <v>2014</v>
      </c>
      <c r="V71" s="161">
        <v>41779</v>
      </c>
      <c r="W71" s="131">
        <v>4</v>
      </c>
      <c r="X71" s="131">
        <v>101.596</v>
      </c>
      <c r="Y71" t="s">
        <v>383</v>
      </c>
      <c r="Z71" s="124" t="str">
        <f t="shared" si="12"/>
        <v>負け</v>
      </c>
      <c r="AA71" s="125">
        <f aca="true" t="shared" si="21" ref="AA71:AA107">IF(X71&lt;&gt;"",X71-L71,"")</f>
        <v>0.17600000000000193</v>
      </c>
      <c r="AB71" s="126">
        <f aca="true" t="shared" si="22" ref="AB71:AB107">IF(Z71&lt;&gt;"",IF(Z71="勝ち",AA71/0.01,0),"")</f>
        <v>0</v>
      </c>
      <c r="AC71" s="137">
        <f t="shared" si="17"/>
        <v>17.600000000000193</v>
      </c>
      <c r="AD71" s="125">
        <f t="shared" si="18"/>
        <v>-1760.0000000000193</v>
      </c>
      <c r="AE71">
        <f t="shared" si="19"/>
        <v>-1760.0000000000193</v>
      </c>
      <c r="AG71" t="s">
        <v>475</v>
      </c>
    </row>
    <row r="72" spans="1:33" ht="13.5" customHeight="1">
      <c r="A72" s="125">
        <f t="shared" si="13"/>
        <v>68</v>
      </c>
      <c r="B72" s="125">
        <f t="shared" si="20"/>
        <v>1009680</v>
      </c>
      <c r="C72" s="129">
        <f>'ルール＆合計'!$F$3</f>
        <v>0.02</v>
      </c>
      <c r="D72" s="128">
        <f t="shared" si="14"/>
        <v>20193.600000000002</v>
      </c>
      <c r="E72" s="131">
        <v>10000</v>
      </c>
      <c r="F72" s="123" t="s">
        <v>90</v>
      </c>
      <c r="G72" s="123" t="s">
        <v>268</v>
      </c>
      <c r="H72" t="s">
        <v>424</v>
      </c>
      <c r="I72" s="123">
        <v>2014</v>
      </c>
      <c r="J72" s="174" t="s">
        <v>477</v>
      </c>
      <c r="K72" s="131" t="s">
        <v>478</v>
      </c>
      <c r="L72">
        <v>101.419</v>
      </c>
      <c r="M72" t="s">
        <v>476</v>
      </c>
      <c r="N72">
        <v>101.596</v>
      </c>
      <c r="P72" s="125">
        <f t="shared" si="15"/>
        <v>17.70000000000067</v>
      </c>
      <c r="Q72" s="138">
        <f t="shared" si="11"/>
        <v>1140.8813559321602</v>
      </c>
      <c r="R72" s="125">
        <f t="shared" si="16"/>
        <v>11.24</v>
      </c>
      <c r="S72">
        <v>1</v>
      </c>
      <c r="T72" s="123" t="s">
        <v>268</v>
      </c>
      <c r="U72" s="123">
        <v>2014</v>
      </c>
      <c r="V72" s="161">
        <v>41779</v>
      </c>
      <c r="W72" s="131">
        <v>4</v>
      </c>
      <c r="X72">
        <v>101.596</v>
      </c>
      <c r="Y72" t="s">
        <v>97</v>
      </c>
      <c r="Z72" s="124" t="str">
        <f t="shared" si="12"/>
        <v>負け</v>
      </c>
      <c r="AA72" s="125">
        <f t="shared" si="21"/>
        <v>0.1770000000000067</v>
      </c>
      <c r="AB72" s="126">
        <f t="shared" si="22"/>
        <v>0</v>
      </c>
      <c r="AC72" s="137">
        <f t="shared" si="17"/>
        <v>17.70000000000067</v>
      </c>
      <c r="AD72" s="125">
        <f t="shared" si="18"/>
        <v>-1770.000000000067</v>
      </c>
      <c r="AE72">
        <f t="shared" si="19"/>
        <v>-1770.000000000067</v>
      </c>
      <c r="AG72" t="s">
        <v>439</v>
      </c>
    </row>
    <row r="73" spans="1:33" ht="13.5" customHeight="1">
      <c r="A73" s="125">
        <f t="shared" si="13"/>
        <v>69</v>
      </c>
      <c r="B73" s="125">
        <f t="shared" si="20"/>
        <v>1007910</v>
      </c>
      <c r="C73" s="129">
        <f>'ルール＆合計'!$F$3</f>
        <v>0.02</v>
      </c>
      <c r="D73" s="128">
        <f t="shared" si="14"/>
        <v>20158.2</v>
      </c>
      <c r="E73" s="131">
        <v>10000</v>
      </c>
      <c r="F73" s="123" t="s">
        <v>90</v>
      </c>
      <c r="G73" s="123" t="s">
        <v>268</v>
      </c>
      <c r="H73" t="s">
        <v>424</v>
      </c>
      <c r="I73" s="123">
        <v>2014</v>
      </c>
      <c r="J73" s="174" t="s">
        <v>479</v>
      </c>
      <c r="K73" s="131" t="s">
        <v>480</v>
      </c>
      <c r="L73">
        <v>101.244</v>
      </c>
      <c r="M73" t="s">
        <v>427</v>
      </c>
      <c r="N73">
        <v>101.536</v>
      </c>
      <c r="P73" s="125">
        <f t="shared" si="15"/>
        <v>29.20000000000016</v>
      </c>
      <c r="Q73" s="138">
        <f aca="true" t="shared" si="23" ref="Q73:Q107">IF(P73&lt;&gt;"",D73/P73,"")</f>
        <v>690.3493150684894</v>
      </c>
      <c r="R73" s="125">
        <f t="shared" si="16"/>
        <v>6.81</v>
      </c>
      <c r="S73">
        <v>1</v>
      </c>
      <c r="T73" s="123" t="s">
        <v>268</v>
      </c>
      <c r="U73" s="123">
        <v>2014</v>
      </c>
      <c r="V73" s="161">
        <v>41780</v>
      </c>
      <c r="W73" s="131">
        <v>20</v>
      </c>
      <c r="X73">
        <v>101.536</v>
      </c>
      <c r="Y73" t="s">
        <v>97</v>
      </c>
      <c r="Z73" s="124" t="str">
        <f t="shared" si="12"/>
        <v>負け</v>
      </c>
      <c r="AA73" s="125">
        <f t="shared" si="21"/>
        <v>0.2920000000000016</v>
      </c>
      <c r="AB73" s="126">
        <f t="shared" si="22"/>
        <v>0</v>
      </c>
      <c r="AC73" s="137">
        <f t="shared" si="17"/>
        <v>29.20000000000016</v>
      </c>
      <c r="AD73" s="125">
        <f t="shared" si="18"/>
        <v>-2920.000000000016</v>
      </c>
      <c r="AE73">
        <f t="shared" si="19"/>
        <v>-2920.000000000016</v>
      </c>
      <c r="AG73" t="s">
        <v>439</v>
      </c>
    </row>
    <row r="74" spans="1:33" ht="13.5" customHeight="1">
      <c r="A74" s="125">
        <f t="shared" si="13"/>
        <v>70</v>
      </c>
      <c r="B74" s="125">
        <f t="shared" si="20"/>
        <v>1004990</v>
      </c>
      <c r="C74" s="129">
        <f>'ルール＆合計'!$F$3</f>
        <v>0.02</v>
      </c>
      <c r="D74" s="128">
        <f t="shared" si="14"/>
        <v>20099.8</v>
      </c>
      <c r="E74" s="131">
        <v>10000</v>
      </c>
      <c r="F74" s="123" t="s">
        <v>90</v>
      </c>
      <c r="G74" s="123" t="s">
        <v>268</v>
      </c>
      <c r="H74" t="s">
        <v>412</v>
      </c>
      <c r="I74" s="123">
        <v>2014</v>
      </c>
      <c r="J74" s="174" t="s">
        <v>481</v>
      </c>
      <c r="K74" s="203" t="s">
        <v>482</v>
      </c>
      <c r="L74">
        <v>101.387</v>
      </c>
      <c r="M74" t="s">
        <v>459</v>
      </c>
      <c r="N74">
        <v>101.332</v>
      </c>
      <c r="P74" s="125">
        <f t="shared" si="15"/>
        <v>5.500000000000682</v>
      </c>
      <c r="Q74" s="138">
        <f t="shared" si="23"/>
        <v>3654.5090909086375</v>
      </c>
      <c r="R74" s="125">
        <f t="shared" si="16"/>
        <v>36.04</v>
      </c>
      <c r="S74">
        <v>1</v>
      </c>
      <c r="T74" s="123" t="s">
        <v>268</v>
      </c>
      <c r="U74" s="123">
        <v>2014</v>
      </c>
      <c r="V74" s="161">
        <v>41788</v>
      </c>
      <c r="W74" s="131">
        <v>8</v>
      </c>
      <c r="X74" s="131">
        <v>101.591</v>
      </c>
      <c r="Y74" t="s">
        <v>383</v>
      </c>
      <c r="Z74" s="124" t="str">
        <f t="shared" si="12"/>
        <v>勝ち</v>
      </c>
      <c r="AA74" s="125">
        <f t="shared" si="21"/>
        <v>0.20399999999999352</v>
      </c>
      <c r="AB74" s="126">
        <f t="shared" si="22"/>
        <v>20.399999999999352</v>
      </c>
      <c r="AC74" s="137">
        <f t="shared" si="17"/>
        <v>0</v>
      </c>
      <c r="AD74" s="125">
        <f t="shared" si="18"/>
        <v>2039.9999999999352</v>
      </c>
      <c r="AE74">
        <f t="shared" si="19"/>
        <v>2039.9999999999352</v>
      </c>
      <c r="AG74" t="s">
        <v>483</v>
      </c>
    </row>
    <row r="75" spans="1:33" ht="13.5" customHeight="1">
      <c r="A75" s="125">
        <f t="shared" si="13"/>
        <v>71</v>
      </c>
      <c r="B75" s="125">
        <f t="shared" si="20"/>
        <v>1007030</v>
      </c>
      <c r="C75" s="129">
        <f>'ルール＆合計'!$F$3</f>
        <v>0.02</v>
      </c>
      <c r="D75" s="128">
        <f t="shared" si="14"/>
        <v>20140.600000000002</v>
      </c>
      <c r="E75" s="131">
        <v>10000</v>
      </c>
      <c r="F75" s="123" t="s">
        <v>90</v>
      </c>
      <c r="G75" s="123" t="s">
        <v>268</v>
      </c>
      <c r="H75" t="s">
        <v>412</v>
      </c>
      <c r="I75" s="123">
        <v>2014</v>
      </c>
      <c r="J75" s="174" t="s">
        <v>485</v>
      </c>
      <c r="K75" s="203" t="s">
        <v>484</v>
      </c>
      <c r="L75">
        <v>101.961</v>
      </c>
      <c r="M75" t="s">
        <v>487</v>
      </c>
      <c r="N75">
        <v>101.774</v>
      </c>
      <c r="P75" s="125">
        <f t="shared" si="15"/>
        <v>18.69999999999976</v>
      </c>
      <c r="Q75" s="138">
        <f t="shared" si="23"/>
        <v>1077.037433155094</v>
      </c>
      <c r="R75" s="125">
        <f t="shared" si="16"/>
        <v>10.56</v>
      </c>
      <c r="S75">
        <v>1</v>
      </c>
      <c r="T75" s="123" t="s">
        <v>268</v>
      </c>
      <c r="U75" s="123">
        <v>2014</v>
      </c>
      <c r="V75" s="161">
        <v>41786</v>
      </c>
      <c r="W75" s="131">
        <v>8</v>
      </c>
      <c r="X75">
        <v>101.774</v>
      </c>
      <c r="Y75" t="s">
        <v>97</v>
      </c>
      <c r="Z75" s="124" t="str">
        <f t="shared" si="12"/>
        <v>負け</v>
      </c>
      <c r="AA75" s="125">
        <f t="shared" si="21"/>
        <v>-0.1869999999999976</v>
      </c>
      <c r="AB75" s="126">
        <f t="shared" si="22"/>
        <v>0</v>
      </c>
      <c r="AC75" s="137">
        <f t="shared" si="17"/>
        <v>-18.69999999999976</v>
      </c>
      <c r="AD75" s="125">
        <f t="shared" si="18"/>
        <v>-1869.9999999999761</v>
      </c>
      <c r="AE75">
        <f t="shared" si="19"/>
        <v>-1869.9999999999761</v>
      </c>
      <c r="AG75" t="s">
        <v>488</v>
      </c>
    </row>
    <row r="76" spans="1:33" ht="13.5" customHeight="1">
      <c r="A76" s="125">
        <f t="shared" si="13"/>
        <v>72</v>
      </c>
      <c r="B76" s="125">
        <f t="shared" si="20"/>
        <v>1005160</v>
      </c>
      <c r="C76" s="129">
        <f>'ルール＆合計'!$F$3</f>
        <v>0.02</v>
      </c>
      <c r="D76" s="128">
        <f t="shared" si="14"/>
        <v>20103.2</v>
      </c>
      <c r="E76" s="131">
        <v>10000</v>
      </c>
      <c r="F76" s="123" t="s">
        <v>90</v>
      </c>
      <c r="G76" s="123" t="s">
        <v>268</v>
      </c>
      <c r="H76" t="s">
        <v>424</v>
      </c>
      <c r="I76" s="123">
        <v>2014</v>
      </c>
      <c r="J76" s="174" t="s">
        <v>490</v>
      </c>
      <c r="K76" s="203" t="s">
        <v>491</v>
      </c>
      <c r="L76">
        <v>101.723</v>
      </c>
      <c r="M76" t="s">
        <v>489</v>
      </c>
      <c r="N76">
        <v>101.982</v>
      </c>
      <c r="P76" s="125">
        <f t="shared" si="15"/>
        <v>25.900000000000034</v>
      </c>
      <c r="Q76" s="138">
        <f t="shared" si="23"/>
        <v>776.1853281853272</v>
      </c>
      <c r="R76" s="125">
        <f t="shared" si="16"/>
        <v>7.63</v>
      </c>
      <c r="S76">
        <v>1</v>
      </c>
      <c r="T76" s="123" t="s">
        <v>268</v>
      </c>
      <c r="U76" s="123">
        <v>2014</v>
      </c>
      <c r="V76" s="161">
        <v>41792</v>
      </c>
      <c r="W76" s="131">
        <v>0</v>
      </c>
      <c r="X76">
        <v>101.843</v>
      </c>
      <c r="Y76" t="s">
        <v>97</v>
      </c>
      <c r="Z76" s="124" t="str">
        <f t="shared" si="12"/>
        <v>負け</v>
      </c>
      <c r="AA76" s="125">
        <f t="shared" si="21"/>
        <v>0.12000000000000455</v>
      </c>
      <c r="AB76" s="126">
        <f t="shared" si="22"/>
        <v>0</v>
      </c>
      <c r="AC76" s="137">
        <f t="shared" si="17"/>
        <v>12.000000000000455</v>
      </c>
      <c r="AD76" s="125">
        <f t="shared" si="18"/>
        <v>-1200.0000000000455</v>
      </c>
      <c r="AE76">
        <f t="shared" si="19"/>
        <v>-1200.0000000000455</v>
      </c>
      <c r="AG76" t="s">
        <v>439</v>
      </c>
    </row>
    <row r="77" spans="1:33" ht="13.5" customHeight="1">
      <c r="A77" s="125">
        <f t="shared" si="13"/>
        <v>73</v>
      </c>
      <c r="B77" s="125">
        <f t="shared" si="20"/>
        <v>1003960</v>
      </c>
      <c r="C77" s="129">
        <f>'ルール＆合計'!$F$3</f>
        <v>0.02</v>
      </c>
      <c r="D77" s="128">
        <f t="shared" si="14"/>
        <v>20079.2</v>
      </c>
      <c r="E77" s="131">
        <v>10000</v>
      </c>
      <c r="F77" s="123" t="s">
        <v>90</v>
      </c>
      <c r="G77" s="123" t="s">
        <v>268</v>
      </c>
      <c r="H77" t="s">
        <v>412</v>
      </c>
      <c r="I77" s="123">
        <v>2014</v>
      </c>
      <c r="J77" s="174" t="s">
        <v>492</v>
      </c>
      <c r="K77" s="203" t="s">
        <v>415</v>
      </c>
      <c r="L77">
        <v>101.757</v>
      </c>
      <c r="M77" t="s">
        <v>449</v>
      </c>
      <c r="N77">
        <v>101.458</v>
      </c>
      <c r="P77" s="125">
        <f t="shared" si="15"/>
        <v>29.90000000000066</v>
      </c>
      <c r="Q77" s="138">
        <f t="shared" si="23"/>
        <v>671.5451505016574</v>
      </c>
      <c r="R77" s="125">
        <f t="shared" si="16"/>
        <v>6.59</v>
      </c>
      <c r="S77">
        <v>1</v>
      </c>
      <c r="T77" s="123" t="s">
        <v>268</v>
      </c>
      <c r="U77" s="123">
        <v>2014</v>
      </c>
      <c r="V77" s="161">
        <v>41788</v>
      </c>
      <c r="W77" s="131">
        <v>16</v>
      </c>
      <c r="X77">
        <v>101.458</v>
      </c>
      <c r="Y77" t="s">
        <v>97</v>
      </c>
      <c r="Z77" s="124" t="str">
        <f t="shared" si="12"/>
        <v>負け</v>
      </c>
      <c r="AA77" s="125">
        <f t="shared" si="21"/>
        <v>-0.2990000000000066</v>
      </c>
      <c r="AB77" s="126">
        <f t="shared" si="22"/>
        <v>0</v>
      </c>
      <c r="AC77" s="137">
        <f t="shared" si="17"/>
        <v>-29.90000000000066</v>
      </c>
      <c r="AD77" s="125">
        <f t="shared" si="18"/>
        <v>-2990.000000000066</v>
      </c>
      <c r="AE77">
        <f t="shared" si="19"/>
        <v>-2990.000000000066</v>
      </c>
      <c r="AG77" t="s">
        <v>493</v>
      </c>
    </row>
    <row r="78" spans="1:31" ht="13.5" customHeight="1">
      <c r="A78" s="125">
        <f t="shared" si="13"/>
        <v>74</v>
      </c>
      <c r="B78" s="125">
        <f t="shared" si="20"/>
        <v>1000970</v>
      </c>
      <c r="C78" s="129">
        <f>'ルール＆合計'!$F$3</f>
        <v>0.02</v>
      </c>
      <c r="D78" s="128">
        <f t="shared" si="14"/>
        <v>20019.4</v>
      </c>
      <c r="E78" s="131">
        <v>10000</v>
      </c>
      <c r="F78" s="123" t="s">
        <v>90</v>
      </c>
      <c r="G78" s="123" t="s">
        <v>268</v>
      </c>
      <c r="H78" t="s">
        <v>424</v>
      </c>
      <c r="I78" s="123">
        <v>2014</v>
      </c>
      <c r="J78" s="174" t="s">
        <v>494</v>
      </c>
      <c r="K78" s="203" t="s">
        <v>495</v>
      </c>
      <c r="L78">
        <v>101.644</v>
      </c>
      <c r="M78" t="s">
        <v>427</v>
      </c>
      <c r="N78">
        <v>101.807</v>
      </c>
      <c r="P78" s="125">
        <f t="shared" si="15"/>
        <v>16.29999999999967</v>
      </c>
      <c r="Q78" s="138">
        <f t="shared" si="23"/>
        <v>1228.1840490797795</v>
      </c>
      <c r="R78" s="125">
        <f t="shared" si="16"/>
        <v>12.08</v>
      </c>
      <c r="S78">
        <v>1</v>
      </c>
      <c r="T78" s="123" t="s">
        <v>268</v>
      </c>
      <c r="U78" s="123">
        <v>2014</v>
      </c>
      <c r="X78">
        <v>101.644</v>
      </c>
      <c r="Y78" t="s">
        <v>214</v>
      </c>
      <c r="Z78" s="124" t="str">
        <f t="shared" si="12"/>
        <v>引分</v>
      </c>
      <c r="AA78" s="125">
        <f t="shared" si="21"/>
        <v>0</v>
      </c>
      <c r="AB78" s="126">
        <f t="shared" si="22"/>
        <v>0</v>
      </c>
      <c r="AC78" s="137">
        <f t="shared" si="17"/>
        <v>0</v>
      </c>
      <c r="AD78" s="125">
        <f t="shared" si="18"/>
        <v>0</v>
      </c>
      <c r="AE78">
        <f t="shared" si="19"/>
        <v>0</v>
      </c>
    </row>
    <row r="79" spans="1:33" ht="13.5" customHeight="1">
      <c r="A79" s="125">
        <f t="shared" si="13"/>
        <v>75</v>
      </c>
      <c r="B79" s="125">
        <f t="shared" si="20"/>
        <v>1000970</v>
      </c>
      <c r="C79" s="129">
        <f>'ルール＆合計'!$F$3</f>
        <v>0.02</v>
      </c>
      <c r="D79" s="128">
        <f t="shared" si="14"/>
        <v>20019.4</v>
      </c>
      <c r="E79" s="131">
        <v>10000</v>
      </c>
      <c r="F79" s="123" t="s">
        <v>90</v>
      </c>
      <c r="G79" s="123" t="s">
        <v>268</v>
      </c>
      <c r="H79" t="s">
        <v>412</v>
      </c>
      <c r="I79" s="123">
        <v>2014</v>
      </c>
      <c r="J79" s="174" t="s">
        <v>496</v>
      </c>
      <c r="K79" s="131" t="s">
        <v>401</v>
      </c>
      <c r="L79">
        <v>102.4</v>
      </c>
      <c r="M79" t="s">
        <v>421</v>
      </c>
      <c r="N79">
        <v>102.269</v>
      </c>
      <c r="P79" s="125">
        <f t="shared" si="15"/>
        <v>13.100000000000023</v>
      </c>
      <c r="Q79" s="138">
        <f t="shared" si="23"/>
        <v>1528.1984732824403</v>
      </c>
      <c r="R79" s="125">
        <f t="shared" si="16"/>
        <v>14.92</v>
      </c>
      <c r="S79">
        <v>1</v>
      </c>
      <c r="T79" s="123" t="s">
        <v>268</v>
      </c>
      <c r="U79" s="123">
        <v>2014</v>
      </c>
      <c r="V79" s="161">
        <v>41795</v>
      </c>
      <c r="W79" s="131">
        <v>16</v>
      </c>
      <c r="X79" s="131">
        <v>102.425</v>
      </c>
      <c r="Y79" t="s">
        <v>383</v>
      </c>
      <c r="Z79" s="124" t="str">
        <f t="shared" si="12"/>
        <v>勝ち</v>
      </c>
      <c r="AA79" s="125">
        <f t="shared" si="21"/>
        <v>0.024999999999991473</v>
      </c>
      <c r="AB79" s="126">
        <f t="shared" si="22"/>
        <v>2.4999999999991473</v>
      </c>
      <c r="AC79" s="137">
        <f t="shared" si="17"/>
        <v>0</v>
      </c>
      <c r="AD79" s="125">
        <f t="shared" si="18"/>
        <v>249.99999999991473</v>
      </c>
      <c r="AE79">
        <f t="shared" si="19"/>
        <v>249.99999999991473</v>
      </c>
      <c r="AG79" t="s">
        <v>497</v>
      </c>
    </row>
    <row r="80" spans="1:33" ht="13.5" customHeight="1">
      <c r="A80" s="125">
        <f t="shared" si="13"/>
        <v>76</v>
      </c>
      <c r="B80" s="125">
        <f t="shared" si="20"/>
        <v>1001220</v>
      </c>
      <c r="C80" s="129">
        <f>'ルール＆合計'!$F$3</f>
        <v>0.02</v>
      </c>
      <c r="D80" s="128">
        <f t="shared" si="14"/>
        <v>20024.4</v>
      </c>
      <c r="E80" s="131">
        <v>10000</v>
      </c>
      <c r="F80" s="123" t="s">
        <v>90</v>
      </c>
      <c r="G80" s="123" t="s">
        <v>268</v>
      </c>
      <c r="H80" t="s">
        <v>412</v>
      </c>
      <c r="I80" s="123">
        <v>2014</v>
      </c>
      <c r="J80" s="174" t="s">
        <v>501</v>
      </c>
      <c r="K80" s="131" t="s">
        <v>394</v>
      </c>
      <c r="L80">
        <v>102.745</v>
      </c>
      <c r="M80" t="s">
        <v>486</v>
      </c>
      <c r="N80">
        <v>102.487</v>
      </c>
      <c r="P80" s="125">
        <f t="shared" si="15"/>
        <v>25.800000000000978</v>
      </c>
      <c r="Q80" s="138">
        <f t="shared" si="23"/>
        <v>776.1395348836916</v>
      </c>
      <c r="R80" s="125">
        <f t="shared" si="16"/>
        <v>7.55</v>
      </c>
      <c r="S80">
        <v>1</v>
      </c>
      <c r="T80" s="123" t="s">
        <v>268</v>
      </c>
      <c r="U80" s="123">
        <v>2014</v>
      </c>
      <c r="X80">
        <v>102.745</v>
      </c>
      <c r="Y80" t="s">
        <v>234</v>
      </c>
      <c r="Z80" s="124" t="str">
        <f t="shared" si="12"/>
        <v>引分</v>
      </c>
      <c r="AA80" s="125">
        <f t="shared" si="21"/>
        <v>0</v>
      </c>
      <c r="AB80" s="126">
        <f t="shared" si="22"/>
        <v>0</v>
      </c>
      <c r="AC80" s="137">
        <f t="shared" si="17"/>
        <v>0</v>
      </c>
      <c r="AD80" s="125">
        <f t="shared" si="18"/>
        <v>0</v>
      </c>
      <c r="AE80">
        <f t="shared" si="19"/>
        <v>0</v>
      </c>
      <c r="AG80" t="s">
        <v>502</v>
      </c>
    </row>
    <row r="81" spans="1:33" ht="13.5" customHeight="1">
      <c r="A81" s="125">
        <f t="shared" si="13"/>
        <v>77</v>
      </c>
      <c r="B81" s="125">
        <f t="shared" si="20"/>
        <v>1001220</v>
      </c>
      <c r="C81" s="129">
        <f>'ルール＆合計'!$F$3</f>
        <v>0.02</v>
      </c>
      <c r="D81" s="128">
        <f t="shared" si="14"/>
        <v>20024.4</v>
      </c>
      <c r="E81" s="131">
        <v>10000</v>
      </c>
      <c r="F81" s="123" t="s">
        <v>90</v>
      </c>
      <c r="G81" s="123" t="s">
        <v>268</v>
      </c>
      <c r="H81" t="s">
        <v>424</v>
      </c>
      <c r="I81" s="123">
        <v>2014</v>
      </c>
      <c r="J81" s="174" t="s">
        <v>503</v>
      </c>
      <c r="K81" s="131" t="s">
        <v>399</v>
      </c>
      <c r="L81">
        <v>102.606</v>
      </c>
      <c r="M81" t="s">
        <v>441</v>
      </c>
      <c r="N81">
        <v>102.749</v>
      </c>
      <c r="P81" s="125">
        <f t="shared" si="15"/>
        <v>14.300000000000068</v>
      </c>
      <c r="Q81" s="138">
        <f t="shared" si="23"/>
        <v>1400.3076923076858</v>
      </c>
      <c r="R81" s="125">
        <f t="shared" si="16"/>
        <v>13.64</v>
      </c>
      <c r="S81">
        <v>1</v>
      </c>
      <c r="T81" s="123" t="s">
        <v>268</v>
      </c>
      <c r="U81" s="123">
        <v>2014</v>
      </c>
      <c r="V81" s="161">
        <v>41800</v>
      </c>
      <c r="W81" s="131">
        <v>16</v>
      </c>
      <c r="X81" s="131">
        <v>102.416</v>
      </c>
      <c r="Y81" t="s">
        <v>383</v>
      </c>
      <c r="Z81" s="124" t="str">
        <f t="shared" si="12"/>
        <v>勝ち</v>
      </c>
      <c r="AA81" s="125">
        <f t="shared" si="21"/>
        <v>-0.18999999999999773</v>
      </c>
      <c r="AB81" s="126">
        <f t="shared" si="22"/>
        <v>-18.999999999999773</v>
      </c>
      <c r="AC81" s="137">
        <f t="shared" si="17"/>
        <v>0</v>
      </c>
      <c r="AD81" s="125">
        <f t="shared" si="18"/>
        <v>1899.9999999999773</v>
      </c>
      <c r="AE81">
        <f t="shared" si="19"/>
        <v>1899.9999999999773</v>
      </c>
      <c r="AG81" t="s">
        <v>504</v>
      </c>
    </row>
    <row r="82" spans="1:33" ht="13.5" customHeight="1">
      <c r="A82" s="125">
        <f t="shared" si="13"/>
        <v>78</v>
      </c>
      <c r="B82" s="125">
        <f t="shared" si="20"/>
        <v>1003120</v>
      </c>
      <c r="C82" s="129">
        <f>'ルール＆合計'!$F$3</f>
        <v>0.02</v>
      </c>
      <c r="D82" s="128">
        <f t="shared" si="14"/>
        <v>20062.4</v>
      </c>
      <c r="E82" s="131">
        <v>10000</v>
      </c>
      <c r="F82" s="123" t="s">
        <v>90</v>
      </c>
      <c r="G82" s="123" t="s">
        <v>268</v>
      </c>
      <c r="H82" t="s">
        <v>424</v>
      </c>
      <c r="I82" s="123">
        <v>2014</v>
      </c>
      <c r="J82" s="174" t="s">
        <v>506</v>
      </c>
      <c r="K82" s="131" t="s">
        <v>455</v>
      </c>
      <c r="L82">
        <v>102.335</v>
      </c>
      <c r="M82" t="s">
        <v>427</v>
      </c>
      <c r="N82">
        <v>102.683</v>
      </c>
      <c r="P82" s="125">
        <f t="shared" si="15"/>
        <v>34.80000000000132</v>
      </c>
      <c r="Q82" s="138">
        <f t="shared" si="23"/>
        <v>576.505747126415</v>
      </c>
      <c r="R82" s="125">
        <f t="shared" si="16"/>
        <v>5.63</v>
      </c>
      <c r="S82">
        <v>1</v>
      </c>
      <c r="T82" s="123" t="s">
        <v>268</v>
      </c>
      <c r="U82" s="123">
        <v>2014</v>
      </c>
      <c r="V82" s="161">
        <v>41800</v>
      </c>
      <c r="W82" s="131">
        <v>16</v>
      </c>
      <c r="X82" s="131">
        <v>102.416</v>
      </c>
      <c r="Y82" t="s">
        <v>383</v>
      </c>
      <c r="Z82" s="124" t="str">
        <f t="shared" si="12"/>
        <v>負け</v>
      </c>
      <c r="AA82" s="125">
        <f t="shared" si="21"/>
        <v>0.08100000000000307</v>
      </c>
      <c r="AB82" s="126">
        <f t="shared" si="22"/>
        <v>0</v>
      </c>
      <c r="AC82" s="137">
        <f t="shared" si="17"/>
        <v>8.100000000000307</v>
      </c>
      <c r="AD82" s="125">
        <f t="shared" si="18"/>
        <v>-810.0000000000307</v>
      </c>
      <c r="AE82">
        <f t="shared" si="19"/>
        <v>-810.0000000000307</v>
      </c>
      <c r="AG82" t="s">
        <v>507</v>
      </c>
    </row>
    <row r="83" spans="1:33" ht="13.5" customHeight="1">
      <c r="A83" s="125">
        <f t="shared" si="13"/>
        <v>79</v>
      </c>
      <c r="B83" s="125">
        <f t="shared" si="20"/>
        <v>1002310</v>
      </c>
      <c r="C83" s="129">
        <f>'ルール＆合計'!$F$3</f>
        <v>0.02</v>
      </c>
      <c r="D83" s="128">
        <f t="shared" si="14"/>
        <v>20046.2</v>
      </c>
      <c r="E83" s="131">
        <v>10000</v>
      </c>
      <c r="F83" s="123" t="s">
        <v>90</v>
      </c>
      <c r="G83" s="123" t="s">
        <v>268</v>
      </c>
      <c r="H83" t="s">
        <v>412</v>
      </c>
      <c r="I83" s="123">
        <v>2014</v>
      </c>
      <c r="J83" s="174" t="s">
        <v>508</v>
      </c>
      <c r="K83" s="131" t="s">
        <v>455</v>
      </c>
      <c r="L83">
        <v>102.608</v>
      </c>
      <c r="M83" t="s">
        <v>423</v>
      </c>
      <c r="N83">
        <v>102.233</v>
      </c>
      <c r="P83" s="125">
        <f t="shared" si="15"/>
        <v>37.5</v>
      </c>
      <c r="Q83" s="138">
        <f t="shared" si="23"/>
        <v>534.5653333333333</v>
      </c>
      <c r="R83" s="125">
        <f t="shared" si="16"/>
        <v>5.2</v>
      </c>
      <c r="S83">
        <v>1</v>
      </c>
      <c r="T83" s="123" t="s">
        <v>268</v>
      </c>
      <c r="U83" s="123">
        <v>2014</v>
      </c>
      <c r="V83" s="161">
        <v>41800</v>
      </c>
      <c r="W83" s="131">
        <v>4</v>
      </c>
      <c r="X83" s="131">
        <v>102.48</v>
      </c>
      <c r="Y83" t="s">
        <v>383</v>
      </c>
      <c r="Z83" s="124" t="str">
        <f t="shared" si="12"/>
        <v>負け</v>
      </c>
      <c r="AA83" s="125">
        <f t="shared" si="21"/>
        <v>-0.1280000000000001</v>
      </c>
      <c r="AB83" s="126">
        <f t="shared" si="22"/>
        <v>0</v>
      </c>
      <c r="AC83" s="137">
        <f t="shared" si="17"/>
        <v>-12.800000000000011</v>
      </c>
      <c r="AD83" s="125">
        <f t="shared" si="18"/>
        <v>-1280.0000000000011</v>
      </c>
      <c r="AE83">
        <f t="shared" si="19"/>
        <v>-1280.0000000000011</v>
      </c>
      <c r="AG83" t="s">
        <v>509</v>
      </c>
    </row>
    <row r="84" spans="1:33" ht="13.5" customHeight="1">
      <c r="A84" s="125">
        <f t="shared" si="13"/>
        <v>80</v>
      </c>
      <c r="B84" s="125">
        <f t="shared" si="20"/>
        <v>1001030</v>
      </c>
      <c r="C84" s="129">
        <f>'ルール＆合計'!$F$3</f>
        <v>0.02</v>
      </c>
      <c r="D84" s="128">
        <f t="shared" si="14"/>
        <v>20020.600000000002</v>
      </c>
      <c r="E84" s="131">
        <v>10000</v>
      </c>
      <c r="F84" s="123" t="s">
        <v>90</v>
      </c>
      <c r="G84" s="123" t="s">
        <v>268</v>
      </c>
      <c r="H84" t="s">
        <v>510</v>
      </c>
      <c r="I84" s="123">
        <v>2014</v>
      </c>
      <c r="J84" s="174" t="s">
        <v>512</v>
      </c>
      <c r="K84" s="131" t="s">
        <v>415</v>
      </c>
      <c r="L84">
        <v>102.069</v>
      </c>
      <c r="M84" t="s">
        <v>511</v>
      </c>
      <c r="N84">
        <v>101.863</v>
      </c>
      <c r="P84" s="125">
        <f t="shared" si="15"/>
        <v>20.600000000000307</v>
      </c>
      <c r="Q84" s="138">
        <f t="shared" si="23"/>
        <v>971.8737864077526</v>
      </c>
      <c r="R84" s="125">
        <f t="shared" si="16"/>
        <v>9.52</v>
      </c>
      <c r="S84">
        <v>1</v>
      </c>
      <c r="T84" s="123" t="s">
        <v>268</v>
      </c>
      <c r="U84" s="123">
        <v>2014</v>
      </c>
      <c r="V84" s="161">
        <v>41806</v>
      </c>
      <c r="W84" s="131">
        <v>4</v>
      </c>
      <c r="X84">
        <v>101.863</v>
      </c>
      <c r="Y84" t="s">
        <v>97</v>
      </c>
      <c r="Z84" s="124" t="str">
        <f t="shared" si="12"/>
        <v>負け</v>
      </c>
      <c r="AA84" s="125">
        <f t="shared" si="21"/>
        <v>-0.20600000000000307</v>
      </c>
      <c r="AB84" s="126">
        <f t="shared" si="22"/>
        <v>0</v>
      </c>
      <c r="AC84" s="137">
        <f t="shared" si="17"/>
        <v>-20.600000000000307</v>
      </c>
      <c r="AD84" s="125">
        <f t="shared" si="18"/>
        <v>-2060.000000000031</v>
      </c>
      <c r="AE84">
        <f t="shared" si="19"/>
        <v>-2060.000000000031</v>
      </c>
      <c r="AG84" t="s">
        <v>513</v>
      </c>
    </row>
    <row r="85" spans="1:33" ht="13.5" customHeight="1">
      <c r="A85" s="125">
        <f t="shared" si="13"/>
        <v>81</v>
      </c>
      <c r="B85" s="125">
        <f t="shared" si="20"/>
        <v>998970</v>
      </c>
      <c r="C85" s="129">
        <f>'ルール＆合計'!$F$3</f>
        <v>0.02</v>
      </c>
      <c r="D85" s="128">
        <f t="shared" si="14"/>
        <v>19979.4</v>
      </c>
      <c r="E85" s="131">
        <v>10000</v>
      </c>
      <c r="F85" s="123" t="s">
        <v>90</v>
      </c>
      <c r="G85" s="123" t="s">
        <v>268</v>
      </c>
      <c r="H85" t="s">
        <v>510</v>
      </c>
      <c r="I85" s="123">
        <v>2014</v>
      </c>
      <c r="J85" s="174" t="s">
        <v>514</v>
      </c>
      <c r="K85" s="131" t="s">
        <v>399</v>
      </c>
      <c r="L85">
        <v>101.938</v>
      </c>
      <c r="M85" t="s">
        <v>423</v>
      </c>
      <c r="N85">
        <v>101.806</v>
      </c>
      <c r="P85" s="125">
        <f t="shared" si="15"/>
        <v>13.2000000000005</v>
      </c>
      <c r="Q85" s="138">
        <f t="shared" si="23"/>
        <v>1513.590909090852</v>
      </c>
      <c r="R85" s="125">
        <f t="shared" si="16"/>
        <v>14.84</v>
      </c>
      <c r="S85">
        <v>1</v>
      </c>
      <c r="T85" s="123" t="s">
        <v>268</v>
      </c>
      <c r="U85" s="123">
        <v>2014</v>
      </c>
      <c r="V85" s="161">
        <v>41808</v>
      </c>
      <c r="W85" s="131">
        <v>12</v>
      </c>
      <c r="X85" s="131">
        <v>102.096</v>
      </c>
      <c r="Y85" t="s">
        <v>383</v>
      </c>
      <c r="Z85" s="124" t="str">
        <f t="shared" si="12"/>
        <v>勝ち</v>
      </c>
      <c r="AA85" s="125">
        <f t="shared" si="21"/>
        <v>0.15800000000000125</v>
      </c>
      <c r="AB85" s="126">
        <f t="shared" si="22"/>
        <v>15.800000000000125</v>
      </c>
      <c r="AC85" s="137">
        <f t="shared" si="17"/>
        <v>0</v>
      </c>
      <c r="AD85" s="125">
        <f t="shared" si="18"/>
        <v>1580.0000000000125</v>
      </c>
      <c r="AE85">
        <f t="shared" si="19"/>
        <v>1580.0000000000125</v>
      </c>
      <c r="AG85" t="s">
        <v>515</v>
      </c>
    </row>
    <row r="86" spans="1:33" ht="13.5" customHeight="1">
      <c r="A86" s="125">
        <f t="shared" si="13"/>
        <v>82</v>
      </c>
      <c r="B86" s="125">
        <f t="shared" si="20"/>
        <v>1000550</v>
      </c>
      <c r="C86" s="129">
        <f>'ルール＆合計'!$F$3</f>
        <v>0.02</v>
      </c>
      <c r="D86" s="128">
        <f t="shared" si="14"/>
        <v>20011</v>
      </c>
      <c r="E86" s="131">
        <v>10000</v>
      </c>
      <c r="F86" s="123" t="s">
        <v>90</v>
      </c>
      <c r="G86" s="123" t="s">
        <v>268</v>
      </c>
      <c r="H86" t="s">
        <v>412</v>
      </c>
      <c r="I86" s="123">
        <v>2014</v>
      </c>
      <c r="J86" s="174" t="s">
        <v>517</v>
      </c>
      <c r="K86" s="131" t="s">
        <v>399</v>
      </c>
      <c r="L86">
        <v>102.222</v>
      </c>
      <c r="M86" t="s">
        <v>421</v>
      </c>
      <c r="N86">
        <v>102.116</v>
      </c>
      <c r="P86" s="125">
        <f t="shared" si="15"/>
        <v>10.599999999999454</v>
      </c>
      <c r="Q86" s="138">
        <f t="shared" si="23"/>
        <v>1887.8301886793424</v>
      </c>
      <c r="R86" s="125">
        <f t="shared" si="16"/>
        <v>18.46</v>
      </c>
      <c r="S86">
        <v>1</v>
      </c>
      <c r="T86" s="123" t="s">
        <v>268</v>
      </c>
      <c r="U86" s="123">
        <v>2014</v>
      </c>
      <c r="V86" s="161">
        <v>41869</v>
      </c>
      <c r="W86" s="131">
        <v>12</v>
      </c>
      <c r="X86">
        <v>102.116</v>
      </c>
      <c r="Y86" t="s">
        <v>97</v>
      </c>
      <c r="Z86" s="124" t="str">
        <f t="shared" si="12"/>
        <v>負け</v>
      </c>
      <c r="AA86" s="125">
        <f t="shared" si="21"/>
        <v>-0.10599999999999454</v>
      </c>
      <c r="AB86" s="126">
        <f t="shared" si="22"/>
        <v>0</v>
      </c>
      <c r="AC86" s="137">
        <f t="shared" si="17"/>
        <v>-10.599999999999454</v>
      </c>
      <c r="AD86" s="125">
        <f t="shared" si="18"/>
        <v>-1059.9999999999454</v>
      </c>
      <c r="AE86">
        <f t="shared" si="19"/>
        <v>-1059.9999999999454</v>
      </c>
      <c r="AG86" t="s">
        <v>516</v>
      </c>
    </row>
    <row r="87" spans="1:33" ht="13.5" customHeight="1">
      <c r="A87" s="125">
        <f t="shared" si="13"/>
        <v>83</v>
      </c>
      <c r="B87" s="125">
        <f t="shared" si="20"/>
        <v>999490</v>
      </c>
      <c r="C87" s="129">
        <f>'ルール＆合計'!$F$3</f>
        <v>0.02</v>
      </c>
      <c r="D87" s="128">
        <f t="shared" si="14"/>
        <v>19989.8</v>
      </c>
      <c r="E87" s="131">
        <v>10000</v>
      </c>
      <c r="F87" s="123" t="s">
        <v>90</v>
      </c>
      <c r="G87" s="123" t="s">
        <v>268</v>
      </c>
      <c r="H87" t="s">
        <v>424</v>
      </c>
      <c r="I87" s="123">
        <v>2014</v>
      </c>
      <c r="J87" s="174" t="s">
        <v>518</v>
      </c>
      <c r="K87" s="203" t="s">
        <v>420</v>
      </c>
      <c r="L87">
        <v>101.878</v>
      </c>
      <c r="M87" t="s">
        <v>427</v>
      </c>
      <c r="N87">
        <v>102.322</v>
      </c>
      <c r="P87" s="125">
        <f t="shared" si="15"/>
        <v>44.40000000000026</v>
      </c>
      <c r="Q87" s="138">
        <f t="shared" si="23"/>
        <v>450.2207207207181</v>
      </c>
      <c r="R87" s="125">
        <f t="shared" si="16"/>
        <v>4.41</v>
      </c>
      <c r="S87">
        <v>1</v>
      </c>
      <c r="T87" s="123" t="s">
        <v>268</v>
      </c>
      <c r="U87" s="123">
        <v>2014</v>
      </c>
      <c r="V87" s="161">
        <v>41814</v>
      </c>
      <c r="W87" s="131">
        <v>8</v>
      </c>
      <c r="X87" s="131">
        <v>101.953</v>
      </c>
      <c r="Y87" t="s">
        <v>383</v>
      </c>
      <c r="Z87" s="124" t="str">
        <f t="shared" si="12"/>
        <v>負け</v>
      </c>
      <c r="AA87" s="125">
        <f t="shared" si="21"/>
        <v>0.07500000000000284</v>
      </c>
      <c r="AB87" s="126">
        <f t="shared" si="22"/>
        <v>0</v>
      </c>
      <c r="AC87" s="137">
        <f t="shared" si="17"/>
        <v>7.500000000000284</v>
      </c>
      <c r="AD87" s="125">
        <f t="shared" si="18"/>
        <v>-750.0000000000284</v>
      </c>
      <c r="AE87">
        <f t="shared" si="19"/>
        <v>-750.0000000000284</v>
      </c>
      <c r="AG87" t="s">
        <v>519</v>
      </c>
    </row>
    <row r="88" spans="1:33" ht="13.5" customHeight="1">
      <c r="A88" s="125">
        <f t="shared" si="13"/>
        <v>84</v>
      </c>
      <c r="B88" s="125">
        <f t="shared" si="20"/>
        <v>998740</v>
      </c>
      <c r="C88" s="129">
        <f>'ルール＆合計'!$F$3</f>
        <v>0.02</v>
      </c>
      <c r="D88" s="128">
        <f t="shared" si="14"/>
        <v>19974.8</v>
      </c>
      <c r="E88" s="131">
        <v>10000</v>
      </c>
      <c r="F88" s="123" t="s">
        <v>90</v>
      </c>
      <c r="G88" s="123" t="s">
        <v>268</v>
      </c>
      <c r="H88" t="s">
        <v>412</v>
      </c>
      <c r="I88" s="123">
        <v>2014</v>
      </c>
      <c r="J88" s="174" t="s">
        <v>520</v>
      </c>
      <c r="K88" s="131" t="s">
        <v>401</v>
      </c>
      <c r="L88">
        <v>101.998</v>
      </c>
      <c r="M88" t="s">
        <v>459</v>
      </c>
      <c r="N88">
        <v>101.817</v>
      </c>
      <c r="P88" s="125">
        <f t="shared" si="15"/>
        <v>18.10000000000116</v>
      </c>
      <c r="Q88" s="138">
        <f t="shared" si="23"/>
        <v>1103.5801104971667</v>
      </c>
      <c r="R88" s="125">
        <f t="shared" si="16"/>
        <v>10.81</v>
      </c>
      <c r="S88">
        <v>1</v>
      </c>
      <c r="T88" s="123" t="s">
        <v>268</v>
      </c>
      <c r="U88" s="123">
        <v>2014</v>
      </c>
      <c r="V88" s="161">
        <v>41813</v>
      </c>
      <c r="W88" s="131">
        <v>8</v>
      </c>
      <c r="X88">
        <v>101.817</v>
      </c>
      <c r="Y88" t="s">
        <v>97</v>
      </c>
      <c r="Z88" s="124" t="str">
        <f t="shared" si="12"/>
        <v>負け</v>
      </c>
      <c r="AA88" s="125">
        <f t="shared" si="21"/>
        <v>-0.1810000000000116</v>
      </c>
      <c r="AB88" s="126">
        <f t="shared" si="22"/>
        <v>0</v>
      </c>
      <c r="AC88" s="137">
        <f t="shared" si="17"/>
        <v>-18.10000000000116</v>
      </c>
      <c r="AD88" s="125">
        <f t="shared" si="18"/>
        <v>-1810.000000000116</v>
      </c>
      <c r="AE88">
        <f t="shared" si="19"/>
        <v>-1810.000000000116</v>
      </c>
      <c r="AG88" t="s">
        <v>522</v>
      </c>
    </row>
    <row r="89" spans="1:33" ht="13.5" customHeight="1">
      <c r="A89" s="125">
        <f t="shared" si="13"/>
        <v>85</v>
      </c>
      <c r="B89" s="125">
        <f t="shared" si="20"/>
        <v>996930</v>
      </c>
      <c r="C89" s="129">
        <f>'ルール＆合計'!$F$3</f>
        <v>0.02</v>
      </c>
      <c r="D89" s="128">
        <f t="shared" si="14"/>
        <v>19938.600000000002</v>
      </c>
      <c r="E89" s="131">
        <v>10000</v>
      </c>
      <c r="F89" s="123" t="s">
        <v>90</v>
      </c>
      <c r="G89" s="123" t="s">
        <v>268</v>
      </c>
      <c r="H89" t="s">
        <v>424</v>
      </c>
      <c r="I89" s="123">
        <v>2014</v>
      </c>
      <c r="J89" s="174" t="s">
        <v>521</v>
      </c>
      <c r="K89" s="203" t="s">
        <v>478</v>
      </c>
      <c r="L89">
        <v>101.906</v>
      </c>
      <c r="M89" t="s">
        <v>427</v>
      </c>
      <c r="N89">
        <v>102.107</v>
      </c>
      <c r="P89" s="125">
        <f t="shared" si="15"/>
        <v>20.09999999999934</v>
      </c>
      <c r="Q89" s="138">
        <f t="shared" si="23"/>
        <v>991.970149253764</v>
      </c>
      <c r="R89" s="125">
        <f t="shared" si="16"/>
        <v>9.73</v>
      </c>
      <c r="S89">
        <v>1</v>
      </c>
      <c r="T89" s="123" t="s">
        <v>268</v>
      </c>
      <c r="U89" s="123">
        <v>2014</v>
      </c>
      <c r="V89" s="161">
        <v>41814</v>
      </c>
      <c r="W89" s="131">
        <v>4</v>
      </c>
      <c r="X89" s="131">
        <v>101.953</v>
      </c>
      <c r="Y89" t="s">
        <v>383</v>
      </c>
      <c r="Z89" s="124" t="str">
        <f t="shared" si="12"/>
        <v>負け</v>
      </c>
      <c r="AA89" s="125">
        <f t="shared" si="21"/>
        <v>0.046999999999997044</v>
      </c>
      <c r="AB89" s="126">
        <f t="shared" si="22"/>
        <v>0</v>
      </c>
      <c r="AC89" s="137">
        <f t="shared" si="17"/>
        <v>4.699999999999704</v>
      </c>
      <c r="AD89" s="125">
        <f t="shared" si="18"/>
        <v>-469.99999999997044</v>
      </c>
      <c r="AE89">
        <f t="shared" si="19"/>
        <v>-469.99999999997044</v>
      </c>
      <c r="AG89" t="s">
        <v>523</v>
      </c>
    </row>
    <row r="90" spans="1:33" ht="13.5" customHeight="1">
      <c r="A90" s="125">
        <f t="shared" si="13"/>
        <v>86</v>
      </c>
      <c r="B90" s="125">
        <f t="shared" si="20"/>
        <v>996460</v>
      </c>
      <c r="C90" s="129">
        <f>'ルール＆合計'!$F$3</f>
        <v>0.02</v>
      </c>
      <c r="D90" s="128">
        <f t="shared" si="14"/>
        <v>19929.2</v>
      </c>
      <c r="E90" s="131">
        <v>10000</v>
      </c>
      <c r="F90" s="123" t="s">
        <v>90</v>
      </c>
      <c r="G90" s="123" t="s">
        <v>268</v>
      </c>
      <c r="H90" t="s">
        <v>424</v>
      </c>
      <c r="I90" s="123">
        <v>2014</v>
      </c>
      <c r="J90" s="174" t="s">
        <v>524</v>
      </c>
      <c r="K90" s="203" t="s">
        <v>415</v>
      </c>
      <c r="L90">
        <v>101.62</v>
      </c>
      <c r="M90" t="s">
        <v>505</v>
      </c>
      <c r="N90">
        <v>101.95</v>
      </c>
      <c r="P90" s="125">
        <f t="shared" si="15"/>
        <v>32.99999999999983</v>
      </c>
      <c r="Q90" s="138">
        <f t="shared" si="23"/>
        <v>603.9151515151547</v>
      </c>
      <c r="R90" s="125">
        <f t="shared" si="16"/>
        <v>5.94</v>
      </c>
      <c r="S90">
        <v>1</v>
      </c>
      <c r="T90" s="123" t="s">
        <v>268</v>
      </c>
      <c r="U90" s="123">
        <v>2014</v>
      </c>
      <c r="V90" s="161">
        <v>41817</v>
      </c>
      <c r="W90" s="131">
        <v>20</v>
      </c>
      <c r="X90" s="131">
        <v>101.436</v>
      </c>
      <c r="Y90" t="s">
        <v>383</v>
      </c>
      <c r="Z90" s="124" t="str">
        <f t="shared" si="12"/>
        <v>勝ち</v>
      </c>
      <c r="AA90" s="125">
        <f t="shared" si="21"/>
        <v>-0.1839999999999975</v>
      </c>
      <c r="AB90" s="126">
        <f t="shared" si="22"/>
        <v>-18.39999999999975</v>
      </c>
      <c r="AC90" s="137">
        <f t="shared" si="17"/>
        <v>0</v>
      </c>
      <c r="AD90" s="125">
        <f t="shared" si="18"/>
        <v>1839.999999999975</v>
      </c>
      <c r="AE90">
        <f t="shared" si="19"/>
        <v>1839.999999999975</v>
      </c>
      <c r="AG90" t="s">
        <v>525</v>
      </c>
    </row>
    <row r="91" spans="1:31" ht="13.5" customHeight="1">
      <c r="A91" s="125">
        <f t="shared" si="13"/>
        <v>87</v>
      </c>
      <c r="B91" s="125">
        <f t="shared" si="20"/>
        <v>998300</v>
      </c>
      <c r="C91" s="129">
        <f>'ルール＆合計'!$F$3</f>
        <v>0.02</v>
      </c>
      <c r="D91" s="128">
        <f t="shared" si="14"/>
        <v>19966</v>
      </c>
      <c r="E91" s="131">
        <v>10000</v>
      </c>
      <c r="F91" s="123" t="s">
        <v>90</v>
      </c>
      <c r="G91" s="123" t="s">
        <v>268</v>
      </c>
      <c r="H91" t="s">
        <v>424</v>
      </c>
      <c r="I91" s="123">
        <v>2014</v>
      </c>
      <c r="J91" s="174" t="s">
        <v>527</v>
      </c>
      <c r="K91" s="203" t="s">
        <v>528</v>
      </c>
      <c r="L91">
        <v>101.719</v>
      </c>
      <c r="M91" t="s">
        <v>526</v>
      </c>
      <c r="N91">
        <v>101.873</v>
      </c>
      <c r="P91" s="125">
        <f t="shared" si="15"/>
        <v>15.400000000001057</v>
      </c>
      <c r="Q91" s="138">
        <f t="shared" si="23"/>
        <v>1296.4935064934175</v>
      </c>
      <c r="R91" s="125">
        <f t="shared" si="16"/>
        <v>12.74</v>
      </c>
      <c r="S91">
        <v>1</v>
      </c>
      <c r="T91" s="123" t="s">
        <v>268</v>
      </c>
      <c r="U91" s="123">
        <v>2014</v>
      </c>
      <c r="V91" s="161">
        <v>41817</v>
      </c>
      <c r="W91" s="131">
        <v>20</v>
      </c>
      <c r="X91" s="131">
        <v>101.436</v>
      </c>
      <c r="Y91" t="s">
        <v>383</v>
      </c>
      <c r="Z91" s="124" t="str">
        <f t="shared" si="12"/>
        <v>勝ち</v>
      </c>
      <c r="AA91" s="125">
        <f t="shared" si="21"/>
        <v>-0.28299999999998704</v>
      </c>
      <c r="AB91" s="126">
        <f t="shared" si="22"/>
        <v>-28.299999999998704</v>
      </c>
      <c r="AC91" s="137">
        <f t="shared" si="17"/>
        <v>0</v>
      </c>
      <c r="AD91" s="125">
        <f t="shared" si="18"/>
        <v>2829.9999999998704</v>
      </c>
      <c r="AE91">
        <f t="shared" si="19"/>
        <v>2829.9999999998704</v>
      </c>
    </row>
    <row r="92" spans="1:33" ht="13.5" customHeight="1">
      <c r="A92" s="125">
        <f t="shared" si="13"/>
        <v>88</v>
      </c>
      <c r="B92" s="125">
        <f t="shared" si="20"/>
        <v>1001130</v>
      </c>
      <c r="C92" s="129">
        <f>'ルール＆合計'!$F$3</f>
        <v>0.02</v>
      </c>
      <c r="D92" s="128">
        <f t="shared" si="14"/>
        <v>20022.600000000002</v>
      </c>
      <c r="E92" s="131">
        <v>10000</v>
      </c>
      <c r="F92" s="123" t="s">
        <v>90</v>
      </c>
      <c r="G92" s="123" t="s">
        <v>268</v>
      </c>
      <c r="H92" t="s">
        <v>424</v>
      </c>
      <c r="I92" s="123">
        <v>2014</v>
      </c>
      <c r="J92" s="174" t="s">
        <v>530</v>
      </c>
      <c r="K92" s="131" t="s">
        <v>399</v>
      </c>
      <c r="L92">
        <v>101.296</v>
      </c>
      <c r="M92" t="s">
        <v>529</v>
      </c>
      <c r="N92" s="131">
        <v>101.472</v>
      </c>
      <c r="P92" s="125">
        <f t="shared" si="15"/>
        <v>17.599999999998772</v>
      </c>
      <c r="Q92" s="138">
        <f t="shared" si="23"/>
        <v>1137.6477272728068</v>
      </c>
      <c r="R92" s="125" t="e">
        <f>IF(Q92&lt;&gt;"",ROUNDDOWN(B92*C92/P92/#REF!,2),"")</f>
        <v>#REF!</v>
      </c>
      <c r="S92">
        <v>1</v>
      </c>
      <c r="T92" s="123" t="s">
        <v>268</v>
      </c>
      <c r="U92" s="123">
        <v>2014</v>
      </c>
      <c r="V92" s="161">
        <v>41821</v>
      </c>
      <c r="W92" s="131">
        <v>0</v>
      </c>
      <c r="X92" s="131">
        <v>101.46</v>
      </c>
      <c r="Y92" t="s">
        <v>383</v>
      </c>
      <c r="Z92" s="124" t="str">
        <f t="shared" si="12"/>
        <v>負け</v>
      </c>
      <c r="AA92" s="125">
        <f t="shared" si="21"/>
        <v>0.16399999999998727</v>
      </c>
      <c r="AB92" s="126">
        <f t="shared" si="22"/>
        <v>0</v>
      </c>
      <c r="AC92" s="137">
        <f t="shared" si="17"/>
        <v>16.399999999998727</v>
      </c>
      <c r="AD92" s="125">
        <f t="shared" si="18"/>
        <v>-1639.9999999998727</v>
      </c>
      <c r="AE92">
        <f t="shared" si="19"/>
        <v>-1639.9999999998727</v>
      </c>
      <c r="AG92" t="s">
        <v>531</v>
      </c>
    </row>
    <row r="93" spans="1:31" ht="13.5" customHeight="1">
      <c r="A93" s="125">
        <f t="shared" si="13"/>
        <v>89</v>
      </c>
      <c r="B93" s="125">
        <f t="shared" si="20"/>
        <v>999490</v>
      </c>
      <c r="C93" s="129">
        <f>'ルール＆合計'!$F$3</f>
        <v>0.02</v>
      </c>
      <c r="D93" s="128">
        <f t="shared" si="14"/>
        <v>19989.8</v>
      </c>
      <c r="E93" s="131">
        <v>10000</v>
      </c>
      <c r="F93" s="123" t="s">
        <v>90</v>
      </c>
      <c r="G93" s="123" t="s">
        <v>268</v>
      </c>
      <c r="H93" t="s">
        <v>412</v>
      </c>
      <c r="I93" s="123">
        <v>2014</v>
      </c>
      <c r="J93" s="174" t="s">
        <v>530</v>
      </c>
      <c r="K93" s="203" t="s">
        <v>533</v>
      </c>
      <c r="L93" s="203">
        <v>101.528</v>
      </c>
      <c r="M93" s="203" t="s">
        <v>532</v>
      </c>
      <c r="N93" s="131">
        <v>101.39</v>
      </c>
      <c r="P93" s="125">
        <f t="shared" si="15"/>
        <v>13.800000000000523</v>
      </c>
      <c r="Q93" s="138">
        <f t="shared" si="23"/>
        <v>1448.536231884003</v>
      </c>
      <c r="R93" s="125">
        <f t="shared" si="16"/>
        <v>14.26</v>
      </c>
      <c r="S93">
        <v>1</v>
      </c>
      <c r="T93" s="123" t="s">
        <v>268</v>
      </c>
      <c r="U93" s="123">
        <v>2014</v>
      </c>
      <c r="V93" s="161">
        <v>41828</v>
      </c>
      <c r="W93" s="131">
        <v>0</v>
      </c>
      <c r="X93" s="131">
        <v>101.748</v>
      </c>
      <c r="Y93" t="s">
        <v>383</v>
      </c>
      <c r="Z93" s="124" t="str">
        <f t="shared" si="12"/>
        <v>勝ち</v>
      </c>
      <c r="AA93" s="125">
        <f t="shared" si="21"/>
        <v>0.21999999999999886</v>
      </c>
      <c r="AB93" s="126">
        <f t="shared" si="22"/>
        <v>21.999999999999886</v>
      </c>
      <c r="AC93" s="137">
        <f t="shared" si="17"/>
        <v>0</v>
      </c>
      <c r="AD93" s="125">
        <f t="shared" si="18"/>
        <v>2199.9999999999886</v>
      </c>
      <c r="AE93">
        <f t="shared" si="19"/>
        <v>2199.9999999999886</v>
      </c>
    </row>
    <row r="94" spans="1:31" ht="13.5" customHeight="1">
      <c r="A94" s="125">
        <f t="shared" si="13"/>
        <v>90</v>
      </c>
      <c r="B94" s="125">
        <f t="shared" si="20"/>
        <v>1001690</v>
      </c>
      <c r="C94" s="129">
        <f>'ルール＆合計'!$F$3</f>
        <v>0.02</v>
      </c>
      <c r="D94" s="128">
        <f t="shared" si="14"/>
        <v>20033.8</v>
      </c>
      <c r="E94" s="131">
        <v>10000</v>
      </c>
      <c r="F94" s="123" t="s">
        <v>90</v>
      </c>
      <c r="G94" s="123" t="s">
        <v>268</v>
      </c>
      <c r="H94" t="s">
        <v>424</v>
      </c>
      <c r="I94" s="123">
        <v>2014</v>
      </c>
      <c r="J94" s="174" t="s">
        <v>534</v>
      </c>
      <c r="K94" s="131">
        <v>16</v>
      </c>
      <c r="L94" s="203">
        <v>101.255</v>
      </c>
      <c r="M94" s="203" t="s">
        <v>505</v>
      </c>
      <c r="N94" s="203">
        <v>101.46</v>
      </c>
      <c r="P94" s="125">
        <f t="shared" si="15"/>
        <v>20.49999999999983</v>
      </c>
      <c r="Q94" s="138">
        <f t="shared" si="23"/>
        <v>977.2585365853739</v>
      </c>
      <c r="R94" s="125">
        <f t="shared" si="16"/>
        <v>9.65</v>
      </c>
      <c r="S94">
        <v>1</v>
      </c>
      <c r="T94" s="123" t="s">
        <v>268</v>
      </c>
      <c r="U94" s="123">
        <v>2014</v>
      </c>
      <c r="X94" s="203">
        <v>101.255</v>
      </c>
      <c r="Y94" t="s">
        <v>341</v>
      </c>
      <c r="Z94" s="124" t="str">
        <f t="shared" si="12"/>
        <v>引分</v>
      </c>
      <c r="AA94" s="125">
        <f t="shared" si="21"/>
        <v>0</v>
      </c>
      <c r="AB94" s="126">
        <f t="shared" si="22"/>
        <v>0</v>
      </c>
      <c r="AC94" s="137">
        <f t="shared" si="17"/>
        <v>0</v>
      </c>
      <c r="AD94" s="125">
        <f t="shared" si="18"/>
        <v>0</v>
      </c>
      <c r="AE94">
        <f t="shared" si="19"/>
        <v>0</v>
      </c>
    </row>
    <row r="95" spans="1:33" ht="13.5" customHeight="1">
      <c r="A95" s="125">
        <f t="shared" si="13"/>
        <v>91</v>
      </c>
      <c r="B95" s="125">
        <f t="shared" si="20"/>
        <v>1001690</v>
      </c>
      <c r="C95" s="129">
        <f>'ルール＆合計'!$F$3</f>
        <v>0.02</v>
      </c>
      <c r="D95" s="128">
        <f t="shared" si="14"/>
        <v>20033.8</v>
      </c>
      <c r="E95" s="131">
        <v>10000</v>
      </c>
      <c r="F95" s="123" t="s">
        <v>90</v>
      </c>
      <c r="G95" s="123" t="s">
        <v>268</v>
      </c>
      <c r="H95" t="s">
        <v>412</v>
      </c>
      <c r="I95" s="123">
        <v>2014</v>
      </c>
      <c r="J95" s="174" t="s">
        <v>537</v>
      </c>
      <c r="K95" s="131" t="s">
        <v>401</v>
      </c>
      <c r="L95" s="203">
        <v>101.54</v>
      </c>
      <c r="M95" s="203" t="s">
        <v>535</v>
      </c>
      <c r="N95" s="203">
        <v>101.4</v>
      </c>
      <c r="P95" s="125">
        <f t="shared" si="15"/>
        <v>14.000000000000057</v>
      </c>
      <c r="Q95" s="138">
        <f t="shared" si="23"/>
        <v>1430.9857142857084</v>
      </c>
      <c r="R95" s="125">
        <f t="shared" si="16"/>
        <v>14.09</v>
      </c>
      <c r="S95">
        <v>1</v>
      </c>
      <c r="T95" s="123" t="s">
        <v>268</v>
      </c>
      <c r="U95" s="123">
        <v>2014</v>
      </c>
      <c r="V95" s="161">
        <v>41828</v>
      </c>
      <c r="W95" s="131">
        <v>0</v>
      </c>
      <c r="X95" s="131">
        <v>101.748</v>
      </c>
      <c r="Y95" t="s">
        <v>383</v>
      </c>
      <c r="Z95" s="124" t="str">
        <f t="shared" si="12"/>
        <v>勝ち</v>
      </c>
      <c r="AA95" s="125">
        <f t="shared" si="21"/>
        <v>0.2079999999999984</v>
      </c>
      <c r="AB95" s="126">
        <f t="shared" si="22"/>
        <v>20.79999999999984</v>
      </c>
      <c r="AC95" s="137">
        <f t="shared" si="17"/>
        <v>0</v>
      </c>
      <c r="AD95" s="125">
        <f t="shared" si="18"/>
        <v>2079.999999999984</v>
      </c>
      <c r="AE95">
        <f t="shared" si="19"/>
        <v>2079.999999999984</v>
      </c>
      <c r="AG95" t="s">
        <v>536</v>
      </c>
    </row>
    <row r="96" spans="1:33" ht="13.5" customHeight="1">
      <c r="A96" s="125">
        <f t="shared" si="13"/>
        <v>92</v>
      </c>
      <c r="B96" s="125">
        <f t="shared" si="20"/>
        <v>1003770</v>
      </c>
      <c r="C96" s="129">
        <f>'ルール＆合計'!$F$3</f>
        <v>0.02</v>
      </c>
      <c r="D96" s="128">
        <f t="shared" si="14"/>
        <v>20075.4</v>
      </c>
      <c r="E96" s="131">
        <v>10000</v>
      </c>
      <c r="F96" s="123" t="s">
        <v>90</v>
      </c>
      <c r="G96" s="123" t="s">
        <v>268</v>
      </c>
      <c r="H96" t="s">
        <v>412</v>
      </c>
      <c r="I96" s="123">
        <v>2014</v>
      </c>
      <c r="J96" s="174" t="s">
        <v>539</v>
      </c>
      <c r="K96" s="131" t="s">
        <v>415</v>
      </c>
      <c r="L96" s="203">
        <v>101.736</v>
      </c>
      <c r="M96" s="203" t="s">
        <v>538</v>
      </c>
      <c r="N96" s="203">
        <v>101.41</v>
      </c>
      <c r="P96" s="125">
        <f t="shared" si="15"/>
        <v>32.60000000000076</v>
      </c>
      <c r="Q96" s="138">
        <f t="shared" si="23"/>
        <v>615.8098159509059</v>
      </c>
      <c r="R96" s="125">
        <f t="shared" si="16"/>
        <v>6.05</v>
      </c>
      <c r="S96">
        <v>1</v>
      </c>
      <c r="T96" s="123" t="s">
        <v>268</v>
      </c>
      <c r="U96" s="123">
        <v>2014</v>
      </c>
      <c r="V96" s="161">
        <v>41828</v>
      </c>
      <c r="W96" s="131">
        <v>0</v>
      </c>
      <c r="X96" s="131">
        <v>101.748</v>
      </c>
      <c r="Y96" t="s">
        <v>383</v>
      </c>
      <c r="Z96" s="124" t="str">
        <f t="shared" si="12"/>
        <v>勝ち</v>
      </c>
      <c r="AA96" s="125">
        <f t="shared" si="21"/>
        <v>0.012000000000000455</v>
      </c>
      <c r="AB96" s="126">
        <f t="shared" si="22"/>
        <v>1.2000000000000455</v>
      </c>
      <c r="AC96" s="137">
        <f t="shared" si="17"/>
        <v>0</v>
      </c>
      <c r="AD96" s="125">
        <f t="shared" si="18"/>
        <v>120.00000000000455</v>
      </c>
      <c r="AE96">
        <f t="shared" si="19"/>
        <v>120.00000000000455</v>
      </c>
      <c r="AG96" t="s">
        <v>540</v>
      </c>
    </row>
    <row r="97" spans="1:33" ht="13.5" customHeight="1">
      <c r="A97" s="125">
        <f t="shared" si="13"/>
        <v>93</v>
      </c>
      <c r="B97" s="125">
        <f t="shared" si="20"/>
        <v>1003890</v>
      </c>
      <c r="C97" s="129">
        <f>'ルール＆合計'!$F$3</f>
        <v>0.02</v>
      </c>
      <c r="D97" s="128">
        <f t="shared" si="14"/>
        <v>20077.8</v>
      </c>
      <c r="E97" s="131">
        <v>10000</v>
      </c>
      <c r="F97" s="123" t="s">
        <v>90</v>
      </c>
      <c r="G97" s="123" t="s">
        <v>268</v>
      </c>
      <c r="H97" t="s">
        <v>412</v>
      </c>
      <c r="I97" s="123">
        <v>2014</v>
      </c>
      <c r="J97" s="174" t="s">
        <v>541</v>
      </c>
      <c r="K97" s="131" t="s">
        <v>399</v>
      </c>
      <c r="L97" s="203">
        <v>101.85</v>
      </c>
      <c r="M97" s="203" t="s">
        <v>542</v>
      </c>
      <c r="N97" s="203">
        <v>101.751</v>
      </c>
      <c r="P97" s="125">
        <f t="shared" si="15"/>
        <v>9.899999999998954</v>
      </c>
      <c r="Q97" s="138">
        <f t="shared" si="23"/>
        <v>2028.0606060608202</v>
      </c>
      <c r="R97" s="125">
        <f t="shared" si="16"/>
        <v>19.91</v>
      </c>
      <c r="S97">
        <v>1</v>
      </c>
      <c r="T97" s="123" t="s">
        <v>268</v>
      </c>
      <c r="U97" s="123">
        <v>2014</v>
      </c>
      <c r="V97" s="161">
        <v>41828</v>
      </c>
      <c r="W97" s="131">
        <v>0</v>
      </c>
      <c r="X97" s="203">
        <v>101.751</v>
      </c>
      <c r="Y97" t="s">
        <v>97</v>
      </c>
      <c r="Z97" s="124" t="str">
        <f t="shared" si="12"/>
        <v>負け</v>
      </c>
      <c r="AA97" s="125">
        <f t="shared" si="21"/>
        <v>-0.09899999999998954</v>
      </c>
      <c r="AB97" s="126">
        <f t="shared" si="22"/>
        <v>0</v>
      </c>
      <c r="AC97" s="137">
        <f t="shared" si="17"/>
        <v>-9.899999999998954</v>
      </c>
      <c r="AD97" s="125">
        <f t="shared" si="18"/>
        <v>-989.9999999998954</v>
      </c>
      <c r="AE97">
        <f t="shared" si="19"/>
        <v>-989.9999999998954</v>
      </c>
      <c r="AG97" t="s">
        <v>543</v>
      </c>
    </row>
    <row r="98" spans="1:33" ht="13.5" customHeight="1">
      <c r="A98" s="125">
        <f t="shared" si="13"/>
        <v>94</v>
      </c>
      <c r="B98" s="125">
        <f t="shared" si="20"/>
        <v>1002900</v>
      </c>
      <c r="C98" s="129">
        <f>'ルール＆合計'!$F$3</f>
        <v>0.02</v>
      </c>
      <c r="D98" s="128">
        <f t="shared" si="14"/>
        <v>20058</v>
      </c>
      <c r="E98" s="131">
        <v>10000</v>
      </c>
      <c r="F98" s="123" t="s">
        <v>90</v>
      </c>
      <c r="G98" s="123" t="s">
        <v>268</v>
      </c>
      <c r="H98" t="s">
        <v>424</v>
      </c>
      <c r="I98" s="123">
        <v>2014</v>
      </c>
      <c r="J98" s="174" t="s">
        <v>545</v>
      </c>
      <c r="K98" s="131" t="s">
        <v>420</v>
      </c>
      <c r="L98" s="203">
        <v>102.119</v>
      </c>
      <c r="M98" s="203" t="s">
        <v>441</v>
      </c>
      <c r="N98" s="203">
        <v>102.217</v>
      </c>
      <c r="P98" s="125">
        <f t="shared" si="15"/>
        <v>9.799999999999898</v>
      </c>
      <c r="Q98" s="138">
        <f t="shared" si="23"/>
        <v>2046.7346938775725</v>
      </c>
      <c r="R98" s="125">
        <f t="shared" si="16"/>
        <v>20.04</v>
      </c>
      <c r="S98">
        <v>1</v>
      </c>
      <c r="T98" s="123" t="s">
        <v>268</v>
      </c>
      <c r="U98" s="123">
        <v>2014</v>
      </c>
      <c r="V98" s="161">
        <v>41827</v>
      </c>
      <c r="W98" s="131">
        <v>0</v>
      </c>
      <c r="X98" s="203">
        <v>102.103</v>
      </c>
      <c r="Y98" t="s">
        <v>383</v>
      </c>
      <c r="Z98" s="124" t="str">
        <f t="shared" si="12"/>
        <v>勝ち</v>
      </c>
      <c r="AA98" s="125">
        <f t="shared" si="21"/>
        <v>-0.016000000000005343</v>
      </c>
      <c r="AB98" s="126">
        <f t="shared" si="22"/>
        <v>-1.6000000000005343</v>
      </c>
      <c r="AC98" s="137">
        <f t="shared" si="17"/>
        <v>0</v>
      </c>
      <c r="AD98" s="125">
        <f t="shared" si="18"/>
        <v>160.00000000005343</v>
      </c>
      <c r="AE98">
        <f t="shared" si="19"/>
        <v>160.00000000005343</v>
      </c>
      <c r="AG98" t="s">
        <v>544</v>
      </c>
    </row>
    <row r="99" spans="1:33" ht="13.5" customHeight="1">
      <c r="A99" s="125">
        <f t="shared" si="13"/>
        <v>95</v>
      </c>
      <c r="B99" s="125">
        <f t="shared" si="20"/>
        <v>1003060</v>
      </c>
      <c r="C99" s="129">
        <f>'ルール＆合計'!$F$3</f>
        <v>0.02</v>
      </c>
      <c r="D99" s="128">
        <f t="shared" si="14"/>
        <v>20061.2</v>
      </c>
      <c r="E99" s="131">
        <v>10000</v>
      </c>
      <c r="F99" s="123" t="s">
        <v>90</v>
      </c>
      <c r="G99" s="123" t="s">
        <v>268</v>
      </c>
      <c r="H99" t="s">
        <v>424</v>
      </c>
      <c r="I99" s="123">
        <v>2014</v>
      </c>
      <c r="J99" s="174" t="s">
        <v>546</v>
      </c>
      <c r="K99" s="131">
        <v>20</v>
      </c>
      <c r="L99" s="203">
        <v>101.985</v>
      </c>
      <c r="M99" s="203" t="s">
        <v>547</v>
      </c>
      <c r="N99" s="203">
        <v>102.103</v>
      </c>
      <c r="P99" s="125">
        <f t="shared" si="15"/>
        <v>11.7999999999995</v>
      </c>
      <c r="Q99" s="138">
        <f t="shared" si="23"/>
        <v>1700.1016949153263</v>
      </c>
      <c r="R99" s="125">
        <f t="shared" si="16"/>
        <v>16.67</v>
      </c>
      <c r="S99">
        <v>1</v>
      </c>
      <c r="T99" s="123" t="s">
        <v>268</v>
      </c>
      <c r="U99" s="123">
        <v>2014</v>
      </c>
      <c r="X99" s="203">
        <v>101.985</v>
      </c>
      <c r="Y99" t="s">
        <v>385</v>
      </c>
      <c r="Z99" s="124" t="str">
        <f t="shared" si="12"/>
        <v>引分</v>
      </c>
      <c r="AA99" s="125">
        <f t="shared" si="21"/>
        <v>0</v>
      </c>
      <c r="AB99" s="126">
        <f t="shared" si="22"/>
        <v>0</v>
      </c>
      <c r="AC99" s="137">
        <f t="shared" si="17"/>
        <v>0</v>
      </c>
      <c r="AD99" s="125">
        <f t="shared" si="18"/>
        <v>0</v>
      </c>
      <c r="AE99">
        <f t="shared" si="19"/>
        <v>0</v>
      </c>
      <c r="AG99" t="s">
        <v>548</v>
      </c>
    </row>
    <row r="100" spans="1:33" ht="13.5" customHeight="1">
      <c r="A100" s="125">
        <f t="shared" si="13"/>
        <v>96</v>
      </c>
      <c r="B100" s="125">
        <f t="shared" si="20"/>
        <v>1003060</v>
      </c>
      <c r="C100" s="129">
        <f>'ルール＆合計'!$F$3</f>
        <v>0.02</v>
      </c>
      <c r="D100" s="128">
        <f t="shared" si="14"/>
        <v>20061.2</v>
      </c>
      <c r="E100" s="131">
        <v>10000</v>
      </c>
      <c r="F100" s="123" t="s">
        <v>90</v>
      </c>
      <c r="G100" s="123" t="s">
        <v>268</v>
      </c>
      <c r="H100" t="s">
        <v>424</v>
      </c>
      <c r="I100" s="123">
        <v>2014</v>
      </c>
      <c r="J100" s="174" t="s">
        <v>550</v>
      </c>
      <c r="K100" s="131" t="s">
        <v>549</v>
      </c>
      <c r="L100" s="203">
        <v>101.684</v>
      </c>
      <c r="M100" s="203" t="s">
        <v>472</v>
      </c>
      <c r="N100" s="203">
        <v>101.891</v>
      </c>
      <c r="P100" s="125">
        <f t="shared" si="15"/>
        <v>20.700000000000784</v>
      </c>
      <c r="Q100" s="138">
        <f t="shared" si="23"/>
        <v>969.1400966183207</v>
      </c>
      <c r="R100" s="125">
        <f t="shared" si="16"/>
        <v>9.53</v>
      </c>
      <c r="S100">
        <v>1</v>
      </c>
      <c r="T100" s="123" t="s">
        <v>268</v>
      </c>
      <c r="U100" s="123">
        <v>2014</v>
      </c>
      <c r="V100" s="161">
        <v>41834</v>
      </c>
      <c r="W100" s="131">
        <v>0</v>
      </c>
      <c r="X100" s="203">
        <v>101.384</v>
      </c>
      <c r="Y100" t="s">
        <v>383</v>
      </c>
      <c r="Z100" s="124" t="str">
        <f t="shared" si="12"/>
        <v>勝ち</v>
      </c>
      <c r="AA100" s="125">
        <f t="shared" si="21"/>
        <v>-0.29999999999999716</v>
      </c>
      <c r="AB100" s="126">
        <f t="shared" si="22"/>
        <v>-29.999999999999716</v>
      </c>
      <c r="AC100" s="137">
        <f t="shared" si="17"/>
        <v>0</v>
      </c>
      <c r="AD100" s="125">
        <f t="shared" si="18"/>
        <v>2999.999999999972</v>
      </c>
      <c r="AE100">
        <f t="shared" si="19"/>
        <v>2999.999999999972</v>
      </c>
      <c r="AG100" t="s">
        <v>551</v>
      </c>
    </row>
    <row r="101" spans="1:33" ht="13.5" customHeight="1">
      <c r="A101" s="125">
        <f t="shared" si="13"/>
        <v>97</v>
      </c>
      <c r="B101" s="125">
        <f t="shared" si="20"/>
        <v>1006060</v>
      </c>
      <c r="C101" s="129">
        <f>'ルール＆合計'!$F$3</f>
        <v>0.02</v>
      </c>
      <c r="D101" s="128">
        <f t="shared" si="14"/>
        <v>20121.2</v>
      </c>
      <c r="E101" s="131">
        <v>10000</v>
      </c>
      <c r="F101" s="123" t="s">
        <v>90</v>
      </c>
      <c r="G101" s="123" t="s">
        <v>268</v>
      </c>
      <c r="H101" t="s">
        <v>424</v>
      </c>
      <c r="I101" s="123">
        <v>2014</v>
      </c>
      <c r="J101" s="174" t="s">
        <v>550</v>
      </c>
      <c r="K101" s="131" t="s">
        <v>401</v>
      </c>
      <c r="L101" s="203">
        <v>101.714</v>
      </c>
      <c r="M101" s="203" t="s">
        <v>472</v>
      </c>
      <c r="N101" s="203">
        <v>101.858</v>
      </c>
      <c r="P101" s="125">
        <f t="shared" si="15"/>
        <v>14.400000000000546</v>
      </c>
      <c r="Q101" s="138">
        <f t="shared" si="23"/>
        <v>1397.3055555555027</v>
      </c>
      <c r="R101" s="125">
        <f t="shared" si="16"/>
        <v>13.73</v>
      </c>
      <c r="S101">
        <v>1</v>
      </c>
      <c r="T101" s="123" t="s">
        <v>268</v>
      </c>
      <c r="U101" s="123">
        <v>2014</v>
      </c>
      <c r="V101" s="161">
        <v>41829</v>
      </c>
      <c r="W101" s="131">
        <v>20</v>
      </c>
      <c r="X101" s="203">
        <v>101.855</v>
      </c>
      <c r="Y101" t="s">
        <v>97</v>
      </c>
      <c r="Z101" s="124" t="str">
        <f t="shared" si="12"/>
        <v>負け</v>
      </c>
      <c r="AA101" s="125">
        <f t="shared" si="21"/>
        <v>0.14100000000000534</v>
      </c>
      <c r="AB101" s="126">
        <f t="shared" si="22"/>
        <v>0</v>
      </c>
      <c r="AC101" s="137">
        <f t="shared" si="17"/>
        <v>14.100000000000534</v>
      </c>
      <c r="AD101" s="125">
        <f t="shared" si="18"/>
        <v>-1410.0000000000534</v>
      </c>
      <c r="AE101">
        <f t="shared" si="19"/>
        <v>-1410.0000000000534</v>
      </c>
      <c r="AG101" t="s">
        <v>552</v>
      </c>
    </row>
    <row r="102" spans="1:33" ht="13.5" customHeight="1">
      <c r="A102" s="125">
        <f t="shared" si="13"/>
        <v>98</v>
      </c>
      <c r="B102" s="125">
        <f t="shared" si="20"/>
        <v>1004650</v>
      </c>
      <c r="C102" s="129">
        <f>'ルール＆合計'!$F$3</f>
        <v>0.02</v>
      </c>
      <c r="D102" s="128">
        <f t="shared" si="14"/>
        <v>20093</v>
      </c>
      <c r="E102" s="131">
        <v>10000</v>
      </c>
      <c r="F102" s="123" t="s">
        <v>90</v>
      </c>
      <c r="G102" s="123" t="s">
        <v>268</v>
      </c>
      <c r="H102" t="s">
        <v>424</v>
      </c>
      <c r="I102" s="123">
        <v>2014</v>
      </c>
      <c r="J102" s="174" t="s">
        <v>553</v>
      </c>
      <c r="K102" s="203" t="s">
        <v>420</v>
      </c>
      <c r="L102" s="203">
        <v>101.53</v>
      </c>
      <c r="M102" s="203" t="s">
        <v>505</v>
      </c>
      <c r="N102" s="203">
        <v>101.855</v>
      </c>
      <c r="P102" s="125">
        <f t="shared" si="15"/>
        <v>32.500000000000284</v>
      </c>
      <c r="Q102" s="138">
        <f t="shared" si="23"/>
        <v>618.2461538461484</v>
      </c>
      <c r="R102" s="125">
        <f t="shared" si="16"/>
        <v>6.08</v>
      </c>
      <c r="S102">
        <v>1</v>
      </c>
      <c r="T102" s="123" t="s">
        <v>268</v>
      </c>
      <c r="U102" s="123">
        <v>2014</v>
      </c>
      <c r="V102" s="161">
        <v>41834</v>
      </c>
      <c r="W102" s="131">
        <v>0</v>
      </c>
      <c r="X102" s="203">
        <v>101.384</v>
      </c>
      <c r="Y102" t="s">
        <v>383</v>
      </c>
      <c r="Z102" s="124" t="str">
        <f t="shared" si="12"/>
        <v>勝ち</v>
      </c>
      <c r="AA102" s="125">
        <f t="shared" si="21"/>
        <v>-0.1460000000000008</v>
      </c>
      <c r="AB102" s="126">
        <f t="shared" si="22"/>
        <v>-14.60000000000008</v>
      </c>
      <c r="AC102" s="137">
        <f t="shared" si="17"/>
        <v>0</v>
      </c>
      <c r="AD102" s="125">
        <f t="shared" si="18"/>
        <v>1460.000000000008</v>
      </c>
      <c r="AE102">
        <f t="shared" si="19"/>
        <v>1460.000000000008</v>
      </c>
      <c r="AG102" t="s">
        <v>554</v>
      </c>
    </row>
    <row r="103" spans="1:33" ht="13.5" customHeight="1">
      <c r="A103" s="125">
        <f t="shared" si="13"/>
        <v>99</v>
      </c>
      <c r="B103" s="125">
        <f t="shared" si="20"/>
        <v>1006110</v>
      </c>
      <c r="C103" s="129">
        <f>'ルール＆合計'!$F$3</f>
        <v>0.02</v>
      </c>
      <c r="D103" s="128">
        <f t="shared" si="14"/>
        <v>20122.2</v>
      </c>
      <c r="E103" s="131">
        <v>10000</v>
      </c>
      <c r="F103" s="123" t="s">
        <v>90</v>
      </c>
      <c r="G103" s="123" t="s">
        <v>268</v>
      </c>
      <c r="H103" t="s">
        <v>424</v>
      </c>
      <c r="I103" s="123">
        <v>2014</v>
      </c>
      <c r="J103" s="174" t="s">
        <v>557</v>
      </c>
      <c r="K103" s="131" t="s">
        <v>558</v>
      </c>
      <c r="L103" s="203">
        <v>101.215</v>
      </c>
      <c r="M103" s="203" t="s">
        <v>555</v>
      </c>
      <c r="N103" s="203">
        <v>101.384</v>
      </c>
      <c r="P103" s="125">
        <f t="shared" si="15"/>
        <v>16.899999999999693</v>
      </c>
      <c r="Q103" s="138">
        <f t="shared" si="23"/>
        <v>1190.6627218935128</v>
      </c>
      <c r="R103" s="125">
        <f t="shared" si="16"/>
        <v>11.76</v>
      </c>
      <c r="S103">
        <v>1</v>
      </c>
      <c r="T103" s="123" t="s">
        <v>268</v>
      </c>
      <c r="U103" s="123">
        <v>2014</v>
      </c>
      <c r="V103" s="161">
        <v>41834</v>
      </c>
      <c r="W103" s="131">
        <v>0</v>
      </c>
      <c r="X103" s="203">
        <v>101.384</v>
      </c>
      <c r="Y103" t="s">
        <v>97</v>
      </c>
      <c r="Z103" s="124" t="str">
        <f t="shared" si="12"/>
        <v>負け</v>
      </c>
      <c r="AA103" s="125">
        <f t="shared" si="21"/>
        <v>0.16899999999999693</v>
      </c>
      <c r="AB103" s="126">
        <f t="shared" si="22"/>
        <v>0</v>
      </c>
      <c r="AC103" s="137">
        <f t="shared" si="17"/>
        <v>16.899999999999693</v>
      </c>
      <c r="AD103" s="125">
        <f t="shared" si="18"/>
        <v>-1689.9999999999693</v>
      </c>
      <c r="AE103">
        <f t="shared" si="19"/>
        <v>-1689.9999999999693</v>
      </c>
      <c r="AG103" t="s">
        <v>556</v>
      </c>
    </row>
    <row r="104" spans="1:31" ht="13.5" customHeight="1">
      <c r="A104" s="125">
        <f t="shared" si="13"/>
        <v>100</v>
      </c>
      <c r="B104" s="125">
        <f t="shared" si="20"/>
        <v>1004420</v>
      </c>
      <c r="C104" s="129">
        <f>'ルール＆合計'!$F$3</f>
        <v>0.02</v>
      </c>
      <c r="D104" s="128">
        <f t="shared" si="14"/>
        <v>20088.4</v>
      </c>
      <c r="E104" s="131">
        <v>10000</v>
      </c>
      <c r="F104" s="123" t="s">
        <v>90</v>
      </c>
      <c r="G104" s="123" t="s">
        <v>268</v>
      </c>
      <c r="H104" t="s">
        <v>424</v>
      </c>
      <c r="I104" s="123">
        <v>2014</v>
      </c>
      <c r="J104" s="174" t="s">
        <v>559</v>
      </c>
      <c r="K104" s="203" t="s">
        <v>495</v>
      </c>
      <c r="L104" s="203">
        <v>101.167</v>
      </c>
      <c r="M104" s="203" t="s">
        <v>505</v>
      </c>
      <c r="N104" s="203">
        <v>101.381</v>
      </c>
      <c r="P104" s="125">
        <f t="shared" si="15"/>
        <v>21.399999999999864</v>
      </c>
      <c r="Q104" s="138">
        <f t="shared" si="23"/>
        <v>938.7102803738378</v>
      </c>
      <c r="R104" s="125">
        <f t="shared" si="16"/>
        <v>9.27</v>
      </c>
      <c r="S104">
        <v>1</v>
      </c>
      <c r="T104" s="123" t="s">
        <v>268</v>
      </c>
      <c r="U104" s="123">
        <v>2014</v>
      </c>
      <c r="X104" s="203">
        <v>101.167</v>
      </c>
      <c r="Y104" t="s">
        <v>214</v>
      </c>
      <c r="Z104" s="124" t="str">
        <f t="shared" si="12"/>
        <v>引分</v>
      </c>
      <c r="AA104" s="125">
        <f t="shared" si="21"/>
        <v>0</v>
      </c>
      <c r="AB104" s="126">
        <f t="shared" si="22"/>
        <v>0</v>
      </c>
      <c r="AC104" s="137">
        <f t="shared" si="17"/>
        <v>0</v>
      </c>
      <c r="AD104" s="125">
        <f t="shared" si="18"/>
        <v>0</v>
      </c>
      <c r="AE104">
        <f t="shared" si="19"/>
        <v>0</v>
      </c>
    </row>
    <row r="105" spans="1:31" ht="13.5" customHeight="1">
      <c r="A105" s="125">
        <f t="shared" si="13"/>
        <v>101</v>
      </c>
      <c r="B105" s="125">
        <f t="shared" si="20"/>
        <v>1004420</v>
      </c>
      <c r="C105" s="129">
        <f>'ルール＆合計'!$F$3</f>
        <v>0.02</v>
      </c>
      <c r="D105" s="128">
        <f t="shared" si="14"/>
        <v>20088.4</v>
      </c>
      <c r="E105" s="131">
        <v>10000</v>
      </c>
      <c r="F105" s="123" t="s">
        <v>90</v>
      </c>
      <c r="G105" s="123" t="s">
        <v>268</v>
      </c>
      <c r="H105" t="s">
        <v>412</v>
      </c>
      <c r="I105" s="123">
        <v>2014</v>
      </c>
      <c r="J105" s="174" t="s">
        <v>564</v>
      </c>
      <c r="K105" s="203" t="s">
        <v>565</v>
      </c>
      <c r="L105" s="203">
        <v>101.403</v>
      </c>
      <c r="M105" s="203" t="s">
        <v>563</v>
      </c>
      <c r="N105" s="203">
        <v>101.347</v>
      </c>
      <c r="P105" s="125">
        <f t="shared" si="15"/>
        <v>5.60000000000116</v>
      </c>
      <c r="Q105" s="138">
        <f t="shared" si="23"/>
        <v>3587.214285713543</v>
      </c>
      <c r="R105" s="125">
        <f t="shared" si="16"/>
        <v>35.37</v>
      </c>
      <c r="S105">
        <v>1</v>
      </c>
      <c r="T105" s="123" t="s">
        <v>268</v>
      </c>
      <c r="U105" s="123">
        <v>2014</v>
      </c>
      <c r="V105" s="161">
        <v>41835</v>
      </c>
      <c r="W105" s="131">
        <v>16</v>
      </c>
      <c r="X105" s="203">
        <v>101.592</v>
      </c>
      <c r="Y105" t="s">
        <v>383</v>
      </c>
      <c r="Z105" s="124" t="str">
        <f t="shared" si="12"/>
        <v>勝ち</v>
      </c>
      <c r="AA105" s="125">
        <f t="shared" si="21"/>
        <v>0.18899999999999295</v>
      </c>
      <c r="AB105" s="126">
        <f t="shared" si="22"/>
        <v>18.899999999999295</v>
      </c>
      <c r="AC105" s="137">
        <f t="shared" si="17"/>
        <v>0</v>
      </c>
      <c r="AD105" s="125">
        <f t="shared" si="18"/>
        <v>1889.9999999999295</v>
      </c>
      <c r="AE105">
        <f t="shared" si="19"/>
        <v>1889.9999999999295</v>
      </c>
    </row>
    <row r="106" spans="1:33" ht="13.5" customHeight="1">
      <c r="A106" s="125">
        <f t="shared" si="13"/>
        <v>102</v>
      </c>
      <c r="B106" s="125">
        <f t="shared" si="20"/>
        <v>1006310</v>
      </c>
      <c r="C106" s="129">
        <f>'ルール＆合計'!$F$3</f>
        <v>0.02</v>
      </c>
      <c r="D106" s="128">
        <f t="shared" si="14"/>
        <v>20126.2</v>
      </c>
      <c r="E106" s="131">
        <v>10000</v>
      </c>
      <c r="F106" s="123" t="s">
        <v>90</v>
      </c>
      <c r="G106" s="123" t="s">
        <v>268</v>
      </c>
      <c r="H106" t="s">
        <v>424</v>
      </c>
      <c r="I106" s="123">
        <v>2014</v>
      </c>
      <c r="J106" s="174" t="s">
        <v>570</v>
      </c>
      <c r="K106" s="131" t="s">
        <v>566</v>
      </c>
      <c r="L106" s="203">
        <v>101.51</v>
      </c>
      <c r="M106" s="203" t="s">
        <v>441</v>
      </c>
      <c r="N106" s="203">
        <v>101.596</v>
      </c>
      <c r="P106" s="125">
        <f t="shared" si="15"/>
        <v>8.599999999999852</v>
      </c>
      <c r="Q106" s="138">
        <f t="shared" si="23"/>
        <v>2340.2558139535286</v>
      </c>
      <c r="R106" s="125">
        <f t="shared" si="16"/>
        <v>23.05</v>
      </c>
      <c r="S106">
        <v>1</v>
      </c>
      <c r="T106" s="123" t="s">
        <v>268</v>
      </c>
      <c r="U106" s="123">
        <v>2014</v>
      </c>
      <c r="V106" s="161">
        <v>41835</v>
      </c>
      <c r="W106" s="131">
        <v>16</v>
      </c>
      <c r="X106" s="203">
        <v>101.596</v>
      </c>
      <c r="Y106" t="s">
        <v>97</v>
      </c>
      <c r="Z106" s="124" t="str">
        <f t="shared" si="12"/>
        <v>負け</v>
      </c>
      <c r="AA106" s="125">
        <f t="shared" si="21"/>
        <v>0.08599999999999852</v>
      </c>
      <c r="AB106" s="126">
        <f t="shared" si="22"/>
        <v>0</v>
      </c>
      <c r="AC106" s="137">
        <f t="shared" si="17"/>
        <v>8.599999999999852</v>
      </c>
      <c r="AD106" s="125">
        <f t="shared" si="18"/>
        <v>-859.9999999999852</v>
      </c>
      <c r="AE106">
        <f t="shared" si="19"/>
        <v>-859.9999999999852</v>
      </c>
      <c r="AG106" t="s">
        <v>567</v>
      </c>
    </row>
    <row r="107" spans="1:33" ht="13.5" customHeight="1">
      <c r="A107" s="125">
        <f t="shared" si="13"/>
        <v>103</v>
      </c>
      <c r="B107" s="125">
        <f t="shared" si="20"/>
        <v>1005450</v>
      </c>
      <c r="C107" s="129">
        <f>'ルール＆合計'!$F$3</f>
        <v>0.02</v>
      </c>
      <c r="D107" s="128">
        <f t="shared" si="14"/>
        <v>20109</v>
      </c>
      <c r="E107" s="131">
        <v>10000</v>
      </c>
      <c r="F107" s="123" t="s">
        <v>90</v>
      </c>
      <c r="G107" s="123" t="s">
        <v>268</v>
      </c>
      <c r="H107" t="s">
        <v>412</v>
      </c>
      <c r="I107" s="123">
        <v>2014</v>
      </c>
      <c r="J107" s="174" t="s">
        <v>568</v>
      </c>
      <c r="K107" s="203" t="s">
        <v>415</v>
      </c>
      <c r="L107" s="203">
        <v>101.648</v>
      </c>
      <c r="M107" s="203" t="s">
        <v>486</v>
      </c>
      <c r="N107" s="203">
        <v>101.511</v>
      </c>
      <c r="P107" s="125">
        <f t="shared" si="15"/>
        <v>13.700000000000045</v>
      </c>
      <c r="Q107" s="138">
        <f t="shared" si="23"/>
        <v>1467.8102189780973</v>
      </c>
      <c r="R107" s="125">
        <f t="shared" si="16"/>
        <v>14.44</v>
      </c>
      <c r="S107">
        <v>1</v>
      </c>
      <c r="T107" s="123" t="s">
        <v>268</v>
      </c>
      <c r="U107" s="123">
        <v>2014</v>
      </c>
      <c r="V107" s="161">
        <v>41837</v>
      </c>
      <c r="W107" s="131">
        <v>4</v>
      </c>
      <c r="X107" s="203">
        <v>101.511</v>
      </c>
      <c r="Y107" t="s">
        <v>97</v>
      </c>
      <c r="Z107" s="124" t="str">
        <f t="shared" si="12"/>
        <v>負け</v>
      </c>
      <c r="AA107" s="125">
        <f t="shared" si="21"/>
        <v>-0.13700000000000045</v>
      </c>
      <c r="AB107" s="126">
        <f t="shared" si="22"/>
        <v>0</v>
      </c>
      <c r="AC107" s="137">
        <f t="shared" si="17"/>
        <v>-13.700000000000045</v>
      </c>
      <c r="AD107" s="125">
        <f t="shared" si="18"/>
        <v>-1370.0000000000045</v>
      </c>
      <c r="AE107">
        <f t="shared" si="19"/>
        <v>-1370.0000000000045</v>
      </c>
      <c r="AG107" t="s">
        <v>569</v>
      </c>
    </row>
    <row r="108" spans="1:33" ht="13.5" customHeight="1">
      <c r="A108" s="125">
        <f t="shared" si="13"/>
        <v>104</v>
      </c>
      <c r="B108" s="125">
        <f aca="true" t="shared" si="24" ref="B108:B167">IF(Z107&lt;&gt;"",B107+ROUND(AD107,0),"")</f>
        <v>1004080</v>
      </c>
      <c r="C108" s="129">
        <f>'ルール＆合計'!$F$3</f>
        <v>0.02</v>
      </c>
      <c r="D108" s="128">
        <f aca="true" t="shared" si="25" ref="D108:D167">B108*C108</f>
        <v>20081.600000000002</v>
      </c>
      <c r="E108" s="131">
        <v>10000</v>
      </c>
      <c r="F108" s="123" t="s">
        <v>90</v>
      </c>
      <c r="G108" s="123" t="s">
        <v>268</v>
      </c>
      <c r="H108" t="s">
        <v>424</v>
      </c>
      <c r="I108" s="123">
        <v>2014</v>
      </c>
      <c r="J108" s="174" t="s">
        <v>572</v>
      </c>
      <c r="K108" s="203" t="s">
        <v>455</v>
      </c>
      <c r="L108" s="203">
        <v>101.636</v>
      </c>
      <c r="M108" s="203" t="s">
        <v>573</v>
      </c>
      <c r="N108" s="203">
        <v>101.747</v>
      </c>
      <c r="P108" s="125">
        <f aca="true" t="shared" si="26" ref="P108:P167">IF(N108&lt;&gt;"",ABS(N108-L108)/0.01,"")</f>
        <v>11.10000000000042</v>
      </c>
      <c r="Q108" s="138">
        <f aca="true" t="shared" si="27" ref="Q108:Q167">IF(P108&lt;&gt;"",D108/P108,"")</f>
        <v>1809.1531531530848</v>
      </c>
      <c r="R108" s="125">
        <f aca="true" t="shared" si="28" ref="R108:R167">IF(Q108&lt;&gt;"",ROUNDDOWN(B108*C108/P108/L108,2),"")</f>
        <v>17.8</v>
      </c>
      <c r="S108">
        <v>1</v>
      </c>
      <c r="T108" s="123" t="s">
        <v>268</v>
      </c>
      <c r="U108" s="123">
        <v>2014</v>
      </c>
      <c r="V108" s="161">
        <v>41842</v>
      </c>
      <c r="W108" s="131">
        <v>0</v>
      </c>
      <c r="X108" s="203">
        <v>101.435</v>
      </c>
      <c r="Y108" t="s">
        <v>383</v>
      </c>
      <c r="Z108" s="124" t="str">
        <f t="shared" si="12"/>
        <v>勝ち</v>
      </c>
      <c r="AA108" s="125">
        <f aca="true" t="shared" si="29" ref="AA108:AA167">IF(X108&lt;&gt;"",X108-L108,"")</f>
        <v>-0.2009999999999934</v>
      </c>
      <c r="AB108" s="126">
        <f aca="true" t="shared" si="30" ref="AB108:AB167">IF(Z108&lt;&gt;"",IF(Z108="勝ち",AA108/0.01,0),"")</f>
        <v>-20.09999999999934</v>
      </c>
      <c r="AC108" s="137">
        <f aca="true" t="shared" si="31" ref="AC108:AC167">IF(Z108&lt;&gt;"",IF(Z108="負け",AA108/0.01,0),"")</f>
        <v>0</v>
      </c>
      <c r="AD108" s="125">
        <f aca="true" t="shared" si="32" ref="AD108:AD167">IF(Z108&lt;&gt;"",IF(Z108="勝ち",IF(AA108&gt;0,AA108*E108,ABS(AA108*E108)),IF(Z108="負け",IF(AA108&gt;0,(AA108*E108)*-1,AA108*E108),0)),"")</f>
        <v>2009.999999999934</v>
      </c>
      <c r="AE108">
        <f aca="true" t="shared" si="33" ref="AE108:AE167">AD108*S108</f>
        <v>2009.999999999934</v>
      </c>
      <c r="AG108" t="s">
        <v>574</v>
      </c>
    </row>
    <row r="109" spans="1:33" ht="13.5" customHeight="1">
      <c r="A109" s="125">
        <f t="shared" si="13"/>
        <v>105</v>
      </c>
      <c r="B109" s="125">
        <f t="shared" si="24"/>
        <v>1006090</v>
      </c>
      <c r="C109" s="129">
        <f>'ルール＆合計'!$F$3</f>
        <v>0.02</v>
      </c>
      <c r="D109" s="128">
        <f t="shared" si="25"/>
        <v>20121.8</v>
      </c>
      <c r="E109" s="131">
        <v>10000</v>
      </c>
      <c r="F109" s="123" t="s">
        <v>90</v>
      </c>
      <c r="G109" s="123" t="s">
        <v>268</v>
      </c>
      <c r="H109" t="s">
        <v>424</v>
      </c>
      <c r="I109" s="123">
        <v>2014</v>
      </c>
      <c r="J109" s="174" t="s">
        <v>575</v>
      </c>
      <c r="K109" s="131" t="s">
        <v>576</v>
      </c>
      <c r="L109" s="203">
        <v>101.263</v>
      </c>
      <c r="M109" s="203" t="s">
        <v>505</v>
      </c>
      <c r="N109" s="203">
        <v>101.394</v>
      </c>
      <c r="P109" s="125">
        <f t="shared" si="26"/>
        <v>13.100000000000023</v>
      </c>
      <c r="Q109" s="138">
        <f t="shared" si="27"/>
        <v>1536.0152671755698</v>
      </c>
      <c r="R109" s="125">
        <f t="shared" si="28"/>
        <v>15.16</v>
      </c>
      <c r="S109">
        <v>1</v>
      </c>
      <c r="T109" s="123" t="s">
        <v>268</v>
      </c>
      <c r="U109" s="123">
        <v>2014</v>
      </c>
      <c r="V109" s="161">
        <v>41842</v>
      </c>
      <c r="W109" s="131">
        <v>0</v>
      </c>
      <c r="X109" s="203">
        <v>101.394</v>
      </c>
      <c r="Y109" t="s">
        <v>97</v>
      </c>
      <c r="Z109" s="124" t="str">
        <f t="shared" si="12"/>
        <v>負け</v>
      </c>
      <c r="AA109" s="125">
        <f t="shared" si="29"/>
        <v>0.13100000000000023</v>
      </c>
      <c r="AB109" s="126">
        <f t="shared" si="30"/>
        <v>0</v>
      </c>
      <c r="AC109" s="137">
        <f t="shared" si="31"/>
        <v>13.100000000000023</v>
      </c>
      <c r="AD109" s="125">
        <f t="shared" si="32"/>
        <v>-1310.0000000000023</v>
      </c>
      <c r="AE109">
        <f t="shared" si="33"/>
        <v>-1310.0000000000023</v>
      </c>
      <c r="AG109" t="s">
        <v>577</v>
      </c>
    </row>
    <row r="110" spans="1:33" ht="13.5" customHeight="1">
      <c r="A110" s="125">
        <f t="shared" si="13"/>
        <v>106</v>
      </c>
      <c r="B110" s="125">
        <f t="shared" si="24"/>
        <v>1004780</v>
      </c>
      <c r="C110" s="129">
        <f>'ルール＆合計'!$F$3</f>
        <v>0.02</v>
      </c>
      <c r="D110" s="128">
        <f t="shared" si="25"/>
        <v>20095.600000000002</v>
      </c>
      <c r="E110" s="131">
        <v>10000</v>
      </c>
      <c r="F110" s="123" t="s">
        <v>90</v>
      </c>
      <c r="G110" s="123" t="s">
        <v>268</v>
      </c>
      <c r="H110" t="s">
        <v>424</v>
      </c>
      <c r="I110" s="123">
        <v>2014</v>
      </c>
      <c r="J110" s="174" t="s">
        <v>578</v>
      </c>
      <c r="K110" s="131" t="s">
        <v>415</v>
      </c>
      <c r="L110" s="203">
        <v>101.386</v>
      </c>
      <c r="M110" s="203" t="s">
        <v>441</v>
      </c>
      <c r="N110" s="203">
        <v>101.601</v>
      </c>
      <c r="P110" s="125">
        <f t="shared" si="26"/>
        <v>21.50000000000034</v>
      </c>
      <c r="Q110" s="138">
        <f t="shared" si="27"/>
        <v>934.6790697674271</v>
      </c>
      <c r="R110" s="125">
        <f t="shared" si="28"/>
        <v>9.21</v>
      </c>
      <c r="S110">
        <v>1</v>
      </c>
      <c r="T110" s="123" t="s">
        <v>268</v>
      </c>
      <c r="U110" s="123">
        <v>2014</v>
      </c>
      <c r="V110" s="161">
        <v>41843</v>
      </c>
      <c r="W110" s="131">
        <v>8</v>
      </c>
      <c r="X110" s="203">
        <v>101.539</v>
      </c>
      <c r="Y110" t="s">
        <v>452</v>
      </c>
      <c r="Z110" s="124" t="str">
        <f t="shared" si="12"/>
        <v>負け</v>
      </c>
      <c r="AA110" s="125">
        <f t="shared" si="29"/>
        <v>0.1530000000000058</v>
      </c>
      <c r="AB110" s="126">
        <f t="shared" si="30"/>
        <v>0</v>
      </c>
      <c r="AC110" s="137">
        <f t="shared" si="31"/>
        <v>15.30000000000058</v>
      </c>
      <c r="AD110" s="125">
        <f t="shared" si="32"/>
        <v>-1530.000000000058</v>
      </c>
      <c r="AE110">
        <f t="shared" si="33"/>
        <v>-1530.000000000058</v>
      </c>
      <c r="AG110" t="s">
        <v>579</v>
      </c>
    </row>
    <row r="111" spans="1:31" ht="13.5" customHeight="1">
      <c r="A111" s="125">
        <f t="shared" si="13"/>
        <v>107</v>
      </c>
      <c r="B111" s="125">
        <f t="shared" si="24"/>
        <v>1003250</v>
      </c>
      <c r="C111" s="129">
        <f>'ルール＆合計'!$F$3</f>
        <v>0.02</v>
      </c>
      <c r="D111" s="128">
        <f t="shared" si="25"/>
        <v>20065</v>
      </c>
      <c r="E111" s="131">
        <v>10000</v>
      </c>
      <c r="F111" s="123" t="s">
        <v>90</v>
      </c>
      <c r="G111" s="123" t="s">
        <v>268</v>
      </c>
      <c r="H111" t="s">
        <v>424</v>
      </c>
      <c r="I111" s="123">
        <v>2014</v>
      </c>
      <c r="J111" s="174" t="s">
        <v>580</v>
      </c>
      <c r="K111" s="131" t="s">
        <v>396</v>
      </c>
      <c r="L111" s="203">
        <v>101.38</v>
      </c>
      <c r="M111" s="203" t="s">
        <v>489</v>
      </c>
      <c r="N111" s="203">
        <v>101.504</v>
      </c>
      <c r="P111" s="125">
        <f t="shared" si="26"/>
        <v>12.400000000000944</v>
      </c>
      <c r="Q111" s="138">
        <f t="shared" si="27"/>
        <v>1618.1451612901994</v>
      </c>
      <c r="R111" s="125">
        <f t="shared" si="28"/>
        <v>15.96</v>
      </c>
      <c r="S111">
        <v>1</v>
      </c>
      <c r="T111" s="123" t="s">
        <v>268</v>
      </c>
      <c r="U111" s="123">
        <v>2014</v>
      </c>
      <c r="V111" s="161">
        <v>41843</v>
      </c>
      <c r="W111" s="131">
        <v>16</v>
      </c>
      <c r="X111" s="203">
        <v>101.504</v>
      </c>
      <c r="Y111" t="s">
        <v>97</v>
      </c>
      <c r="Z111" s="124" t="str">
        <f t="shared" si="12"/>
        <v>負け</v>
      </c>
      <c r="AA111" s="125">
        <f t="shared" si="29"/>
        <v>0.12400000000000944</v>
      </c>
      <c r="AB111" s="126">
        <f t="shared" si="30"/>
        <v>0</v>
      </c>
      <c r="AC111" s="137">
        <f t="shared" si="31"/>
        <v>12.400000000000944</v>
      </c>
      <c r="AD111" s="125">
        <f t="shared" si="32"/>
        <v>-1240.0000000000944</v>
      </c>
      <c r="AE111">
        <f t="shared" si="33"/>
        <v>-1240.0000000000944</v>
      </c>
    </row>
    <row r="112" spans="1:33" ht="13.5" customHeight="1">
      <c r="A112" s="125">
        <f t="shared" si="13"/>
        <v>108</v>
      </c>
      <c r="B112" s="125">
        <f t="shared" si="24"/>
        <v>1002010</v>
      </c>
      <c r="C112" s="129">
        <f>'ルール＆合計'!$F$3</f>
        <v>0.02</v>
      </c>
      <c r="D112" s="128">
        <f t="shared" si="25"/>
        <v>20040.2</v>
      </c>
      <c r="E112" s="131">
        <v>10000</v>
      </c>
      <c r="F112" s="123" t="s">
        <v>90</v>
      </c>
      <c r="G112" s="123" t="s">
        <v>268</v>
      </c>
      <c r="H112" t="s">
        <v>412</v>
      </c>
      <c r="I112" s="123">
        <v>2014</v>
      </c>
      <c r="J112" s="174" t="s">
        <v>582</v>
      </c>
      <c r="K112" s="131" t="s">
        <v>399</v>
      </c>
      <c r="L112" s="203">
        <v>101.551</v>
      </c>
      <c r="M112" s="203" t="s">
        <v>486</v>
      </c>
      <c r="N112" s="203">
        <v>101.443</v>
      </c>
      <c r="P112" s="125">
        <f t="shared" si="26"/>
        <v>10.80000000000041</v>
      </c>
      <c r="Q112" s="138">
        <f t="shared" si="27"/>
        <v>1855.5740740740039</v>
      </c>
      <c r="R112" s="125">
        <f t="shared" si="28"/>
        <v>18.27</v>
      </c>
      <c r="S112">
        <v>1</v>
      </c>
      <c r="T112" s="123" t="s">
        <v>268</v>
      </c>
      <c r="U112" s="123">
        <v>2014</v>
      </c>
      <c r="V112" s="161">
        <v>41844</v>
      </c>
      <c r="W112" s="131">
        <v>8</v>
      </c>
      <c r="X112" s="203">
        <v>101.443</v>
      </c>
      <c r="Y112" t="s">
        <v>97</v>
      </c>
      <c r="Z112" s="124" t="str">
        <f t="shared" si="12"/>
        <v>負け</v>
      </c>
      <c r="AA112" s="125">
        <f t="shared" si="29"/>
        <v>-0.10800000000000409</v>
      </c>
      <c r="AB112" s="126">
        <f t="shared" si="30"/>
        <v>0</v>
      </c>
      <c r="AC112" s="137">
        <f t="shared" si="31"/>
        <v>-10.80000000000041</v>
      </c>
      <c r="AD112" s="125">
        <f t="shared" si="32"/>
        <v>-1080.000000000041</v>
      </c>
      <c r="AE112">
        <f t="shared" si="33"/>
        <v>-1080.000000000041</v>
      </c>
      <c r="AG112" t="s">
        <v>581</v>
      </c>
    </row>
    <row r="113" spans="1:33" ht="13.5" customHeight="1">
      <c r="A113" s="125">
        <f t="shared" si="13"/>
        <v>109</v>
      </c>
      <c r="B113" s="125">
        <f t="shared" si="24"/>
        <v>1000930</v>
      </c>
      <c r="C113" s="129">
        <f>'ルール＆合計'!$F$3</f>
        <v>0.02</v>
      </c>
      <c r="D113" s="128">
        <f t="shared" si="25"/>
        <v>20018.600000000002</v>
      </c>
      <c r="E113" s="131">
        <v>10000</v>
      </c>
      <c r="F113" s="123" t="s">
        <v>90</v>
      </c>
      <c r="G113" s="123" t="s">
        <v>268</v>
      </c>
      <c r="H113" t="s">
        <v>412</v>
      </c>
      <c r="I113" s="123">
        <v>2014</v>
      </c>
      <c r="J113" s="174" t="s">
        <v>588</v>
      </c>
      <c r="K113" s="203" t="s">
        <v>491</v>
      </c>
      <c r="L113" s="203">
        <v>101.555</v>
      </c>
      <c r="M113" s="203" t="s">
        <v>583</v>
      </c>
      <c r="N113" s="203">
        <v>101.415</v>
      </c>
      <c r="P113" s="125">
        <f t="shared" si="26"/>
        <v>14.000000000000057</v>
      </c>
      <c r="Q113" s="138">
        <f t="shared" si="27"/>
        <v>1429.8999999999944</v>
      </c>
      <c r="R113" s="125">
        <f t="shared" si="28"/>
        <v>14.08</v>
      </c>
      <c r="S113">
        <v>1</v>
      </c>
      <c r="T113" s="123" t="s">
        <v>268</v>
      </c>
      <c r="U113" s="123">
        <v>2014</v>
      </c>
      <c r="V113" s="161">
        <v>41857</v>
      </c>
      <c r="W113" s="131">
        <v>16</v>
      </c>
      <c r="X113" s="203">
        <v>101.855</v>
      </c>
      <c r="Y113" t="s">
        <v>584</v>
      </c>
      <c r="Z113" s="124" t="str">
        <f t="shared" si="12"/>
        <v>勝ち</v>
      </c>
      <c r="AA113" s="125">
        <f t="shared" si="29"/>
        <v>0.29999999999999716</v>
      </c>
      <c r="AB113" s="126">
        <f t="shared" si="30"/>
        <v>29.999999999999716</v>
      </c>
      <c r="AC113" s="137">
        <f t="shared" si="31"/>
        <v>0</v>
      </c>
      <c r="AD113" s="125">
        <f t="shared" si="32"/>
        <v>2999.999999999972</v>
      </c>
      <c r="AE113">
        <f t="shared" si="33"/>
        <v>2999.999999999972</v>
      </c>
      <c r="AG113" t="s">
        <v>585</v>
      </c>
    </row>
    <row r="114" spans="1:31" ht="13.5" customHeight="1">
      <c r="A114" s="125">
        <f t="shared" si="13"/>
        <v>110</v>
      </c>
      <c r="B114" s="125">
        <f t="shared" si="24"/>
        <v>1003930</v>
      </c>
      <c r="C114" s="129">
        <f>'ルール＆合計'!$F$3</f>
        <v>0.02</v>
      </c>
      <c r="D114" s="128">
        <f t="shared" si="25"/>
        <v>20078.600000000002</v>
      </c>
      <c r="E114" s="131">
        <v>10000</v>
      </c>
      <c r="F114" s="123" t="s">
        <v>90</v>
      </c>
      <c r="G114" s="123" t="s">
        <v>268</v>
      </c>
      <c r="H114" t="s">
        <v>412</v>
      </c>
      <c r="I114" s="123">
        <v>2014</v>
      </c>
      <c r="J114" s="174" t="s">
        <v>587</v>
      </c>
      <c r="K114" s="203" t="s">
        <v>586</v>
      </c>
      <c r="L114" s="203">
        <v>101.936</v>
      </c>
      <c r="M114" s="203" t="s">
        <v>542</v>
      </c>
      <c r="N114" s="203">
        <v>101.712</v>
      </c>
      <c r="P114" s="125">
        <f t="shared" si="26"/>
        <v>22.400000000000375</v>
      </c>
      <c r="Q114" s="138">
        <f t="shared" si="27"/>
        <v>896.3660714285566</v>
      </c>
      <c r="R114" s="125">
        <f t="shared" si="28"/>
        <v>8.79</v>
      </c>
      <c r="S114">
        <v>1</v>
      </c>
      <c r="T114" s="123" t="s">
        <v>268</v>
      </c>
      <c r="U114" s="123">
        <v>2014</v>
      </c>
      <c r="V114" s="161">
        <v>41857</v>
      </c>
      <c r="W114" s="131">
        <v>16</v>
      </c>
      <c r="X114" s="203">
        <v>101.855</v>
      </c>
      <c r="Y114" t="s">
        <v>584</v>
      </c>
      <c r="Z114" s="124" t="str">
        <f t="shared" si="12"/>
        <v>負け</v>
      </c>
      <c r="AA114" s="125">
        <f t="shared" si="29"/>
        <v>-0.08100000000000307</v>
      </c>
      <c r="AB114" s="126">
        <f t="shared" si="30"/>
        <v>0</v>
      </c>
      <c r="AC114" s="137">
        <f t="shared" si="31"/>
        <v>-8.100000000000307</v>
      </c>
      <c r="AD114" s="125">
        <f t="shared" si="32"/>
        <v>-810.0000000000307</v>
      </c>
      <c r="AE114">
        <f t="shared" si="33"/>
        <v>-810.0000000000307</v>
      </c>
    </row>
    <row r="115" spans="1:33" ht="13.5" customHeight="1">
      <c r="A115" s="125">
        <f t="shared" si="13"/>
        <v>111</v>
      </c>
      <c r="B115" s="125">
        <f t="shared" si="24"/>
        <v>1003120</v>
      </c>
      <c r="C115" s="129">
        <f>'ルール＆合計'!$F$3</f>
        <v>0.02</v>
      </c>
      <c r="D115" s="128">
        <f t="shared" si="25"/>
        <v>20062.4</v>
      </c>
      <c r="E115" s="131">
        <v>10000</v>
      </c>
      <c r="F115" s="123" t="s">
        <v>90</v>
      </c>
      <c r="G115" s="123" t="s">
        <v>268</v>
      </c>
      <c r="H115" t="s">
        <v>412</v>
      </c>
      <c r="I115" s="123">
        <v>2014</v>
      </c>
      <c r="J115" s="174" t="s">
        <v>592</v>
      </c>
      <c r="K115" s="203" t="s">
        <v>415</v>
      </c>
      <c r="L115" s="203">
        <v>102.12</v>
      </c>
      <c r="M115" s="203" t="s">
        <v>589</v>
      </c>
      <c r="N115" s="203">
        <v>101.907</v>
      </c>
      <c r="P115" s="125">
        <f t="shared" si="26"/>
        <v>21.300000000000807</v>
      </c>
      <c r="Q115" s="138">
        <f t="shared" si="27"/>
        <v>941.8967136149879</v>
      </c>
      <c r="R115" s="125">
        <f t="shared" si="28"/>
        <v>9.22</v>
      </c>
      <c r="S115">
        <v>1</v>
      </c>
      <c r="T115" s="123" t="s">
        <v>268</v>
      </c>
      <c r="U115" s="123">
        <v>2014</v>
      </c>
      <c r="V115" s="161">
        <v>41857</v>
      </c>
      <c r="W115" s="131">
        <v>16</v>
      </c>
      <c r="X115" s="203">
        <v>102.12</v>
      </c>
      <c r="Y115" t="s">
        <v>590</v>
      </c>
      <c r="Z115" s="124" t="str">
        <f t="shared" si="12"/>
        <v>引分</v>
      </c>
      <c r="AA115" s="125">
        <f t="shared" si="29"/>
        <v>0</v>
      </c>
      <c r="AB115" s="126">
        <f t="shared" si="30"/>
        <v>0</v>
      </c>
      <c r="AC115" s="137">
        <f t="shared" si="31"/>
        <v>0</v>
      </c>
      <c r="AD115" s="125">
        <f t="shared" si="32"/>
        <v>0</v>
      </c>
      <c r="AE115">
        <f t="shared" si="33"/>
        <v>0</v>
      </c>
      <c r="AG115" t="s">
        <v>591</v>
      </c>
    </row>
    <row r="116" spans="1:33" ht="13.5" customHeight="1">
      <c r="A116" s="125">
        <f t="shared" si="13"/>
        <v>112</v>
      </c>
      <c r="B116" s="125">
        <f t="shared" si="24"/>
        <v>1003120</v>
      </c>
      <c r="C116" s="129">
        <f>'ルール＆合計'!$F$3</f>
        <v>0.02</v>
      </c>
      <c r="D116" s="128">
        <f t="shared" si="25"/>
        <v>20062.4</v>
      </c>
      <c r="E116" s="131">
        <v>10000</v>
      </c>
      <c r="F116" s="123" t="s">
        <v>90</v>
      </c>
      <c r="G116" s="123" t="s">
        <v>268</v>
      </c>
      <c r="H116" t="s">
        <v>424</v>
      </c>
      <c r="I116" s="123">
        <v>2014</v>
      </c>
      <c r="J116" s="174" t="s">
        <v>593</v>
      </c>
      <c r="K116" s="203" t="s">
        <v>478</v>
      </c>
      <c r="L116" s="203">
        <v>102.525</v>
      </c>
      <c r="M116" s="203" t="s">
        <v>505</v>
      </c>
      <c r="N116" s="203">
        <v>102.688</v>
      </c>
      <c r="P116" s="125">
        <f t="shared" si="26"/>
        <v>16.29999999999967</v>
      </c>
      <c r="Q116" s="138">
        <f t="shared" si="27"/>
        <v>1230.8220858895954</v>
      </c>
      <c r="R116" s="125">
        <f t="shared" si="28"/>
        <v>12</v>
      </c>
      <c r="S116">
        <v>1</v>
      </c>
      <c r="T116" s="123" t="s">
        <v>268</v>
      </c>
      <c r="U116" s="123">
        <v>2014</v>
      </c>
      <c r="V116" s="161">
        <v>41856</v>
      </c>
      <c r="W116" s="131">
        <v>8</v>
      </c>
      <c r="X116" s="203">
        <v>102.688</v>
      </c>
      <c r="Y116" t="s">
        <v>97</v>
      </c>
      <c r="Z116" s="124" t="str">
        <f t="shared" si="12"/>
        <v>負け</v>
      </c>
      <c r="AA116" s="125">
        <f t="shared" si="29"/>
        <v>0.1629999999999967</v>
      </c>
      <c r="AB116" s="126">
        <f t="shared" si="30"/>
        <v>0</v>
      </c>
      <c r="AC116" s="137">
        <f t="shared" si="31"/>
        <v>16.29999999999967</v>
      </c>
      <c r="AD116" s="125">
        <f t="shared" si="32"/>
        <v>-1629.999999999967</v>
      </c>
      <c r="AE116">
        <f t="shared" si="33"/>
        <v>-1629.999999999967</v>
      </c>
      <c r="AG116" t="s">
        <v>594</v>
      </c>
    </row>
    <row r="117" spans="1:33" ht="13.5" customHeight="1">
      <c r="A117" s="125">
        <f t="shared" si="13"/>
        <v>113</v>
      </c>
      <c r="B117" s="125">
        <f t="shared" si="24"/>
        <v>1001490</v>
      </c>
      <c r="C117" s="129">
        <f>'ルール＆合計'!$F$3</f>
        <v>0.02</v>
      </c>
      <c r="D117" s="128">
        <f t="shared" si="25"/>
        <v>20029.8</v>
      </c>
      <c r="E117" s="131">
        <v>10000</v>
      </c>
      <c r="F117" s="123" t="s">
        <v>90</v>
      </c>
      <c r="G117" s="123" t="s">
        <v>268</v>
      </c>
      <c r="H117" t="s">
        <v>424</v>
      </c>
      <c r="I117" s="123">
        <v>2014</v>
      </c>
      <c r="J117" s="174" t="s">
        <v>596</v>
      </c>
      <c r="K117" s="203" t="s">
        <v>478</v>
      </c>
      <c r="L117" s="203">
        <v>102.517</v>
      </c>
      <c r="M117" s="203" t="s">
        <v>505</v>
      </c>
      <c r="N117" s="203">
        <v>102.619</v>
      </c>
      <c r="P117" s="125">
        <f t="shared" si="26"/>
        <v>10.200000000000387</v>
      </c>
      <c r="Q117" s="138">
        <f t="shared" si="27"/>
        <v>1963.7058823528666</v>
      </c>
      <c r="R117" s="125">
        <f t="shared" si="28"/>
        <v>19.15</v>
      </c>
      <c r="S117">
        <v>1</v>
      </c>
      <c r="T117" s="123" t="s">
        <v>268</v>
      </c>
      <c r="U117" s="123">
        <v>2014</v>
      </c>
      <c r="V117" s="161">
        <v>41862</v>
      </c>
      <c r="W117" s="131">
        <v>0</v>
      </c>
      <c r="X117" s="203">
        <v>102.141</v>
      </c>
      <c r="Y117" t="s">
        <v>383</v>
      </c>
      <c r="Z117" s="124" t="str">
        <f t="shared" si="12"/>
        <v>勝ち</v>
      </c>
      <c r="AA117" s="125">
        <f t="shared" si="29"/>
        <v>-0.37599999999999056</v>
      </c>
      <c r="AB117" s="126">
        <f t="shared" si="30"/>
        <v>-37.599999999999056</v>
      </c>
      <c r="AC117" s="137">
        <f t="shared" si="31"/>
        <v>0</v>
      </c>
      <c r="AD117" s="125">
        <f t="shared" si="32"/>
        <v>3759.9999999999054</v>
      </c>
      <c r="AE117">
        <f t="shared" si="33"/>
        <v>3759.9999999999054</v>
      </c>
      <c r="AG117" t="s">
        <v>595</v>
      </c>
    </row>
    <row r="118" spans="1:33" ht="13.5" customHeight="1">
      <c r="A118" s="125">
        <f t="shared" si="13"/>
        <v>114</v>
      </c>
      <c r="B118" s="125">
        <f t="shared" si="24"/>
        <v>1005250</v>
      </c>
      <c r="C118" s="129">
        <f>'ルール＆合計'!$F$3</f>
        <v>0.02</v>
      </c>
      <c r="D118" s="128">
        <f t="shared" si="25"/>
        <v>20105</v>
      </c>
      <c r="E118" s="131">
        <v>10000</v>
      </c>
      <c r="F118" s="123" t="s">
        <v>90</v>
      </c>
      <c r="G118" s="123" t="s">
        <v>268</v>
      </c>
      <c r="H118" t="s">
        <v>424</v>
      </c>
      <c r="I118" s="123">
        <v>2014</v>
      </c>
      <c r="J118" s="174" t="s">
        <v>597</v>
      </c>
      <c r="K118" s="203" t="s">
        <v>478</v>
      </c>
      <c r="L118" s="203">
        <v>101.595</v>
      </c>
      <c r="M118" s="203" t="s">
        <v>598</v>
      </c>
      <c r="N118" s="203">
        <v>102.096</v>
      </c>
      <c r="P118" s="125">
        <f t="shared" si="26"/>
        <v>50.10000000000048</v>
      </c>
      <c r="Q118" s="138">
        <f t="shared" si="27"/>
        <v>401.29740518961694</v>
      </c>
      <c r="R118" s="125">
        <f t="shared" si="28"/>
        <v>3.94</v>
      </c>
      <c r="S118">
        <v>1</v>
      </c>
      <c r="T118" s="123" t="s">
        <v>268</v>
      </c>
      <c r="U118" s="123">
        <v>2014</v>
      </c>
      <c r="V118" s="161">
        <v>41862</v>
      </c>
      <c r="W118" s="131">
        <v>0</v>
      </c>
      <c r="X118" s="203">
        <v>102.096</v>
      </c>
      <c r="Y118" t="s">
        <v>97</v>
      </c>
      <c r="Z118" s="124" t="str">
        <f t="shared" si="12"/>
        <v>負け</v>
      </c>
      <c r="AA118" s="125">
        <f t="shared" si="29"/>
        <v>0.5010000000000048</v>
      </c>
      <c r="AB118" s="126">
        <f t="shared" si="30"/>
        <v>0</v>
      </c>
      <c r="AC118" s="137">
        <f t="shared" si="31"/>
        <v>50.10000000000048</v>
      </c>
      <c r="AD118" s="125">
        <f t="shared" si="32"/>
        <v>-5010.000000000047</v>
      </c>
      <c r="AE118">
        <f t="shared" si="33"/>
        <v>-5010.000000000047</v>
      </c>
      <c r="AG118" t="s">
        <v>599</v>
      </c>
    </row>
    <row r="119" spans="1:33" ht="13.5" customHeight="1">
      <c r="A119" s="125">
        <f t="shared" si="13"/>
        <v>115</v>
      </c>
      <c r="B119" s="125">
        <f t="shared" si="24"/>
        <v>1000240</v>
      </c>
      <c r="C119" s="129">
        <f>'ルール＆合計'!$F$3</f>
        <v>0.02</v>
      </c>
      <c r="D119" s="128">
        <f t="shared" si="25"/>
        <v>20004.8</v>
      </c>
      <c r="E119" s="131">
        <v>10000</v>
      </c>
      <c r="F119" s="123" t="s">
        <v>90</v>
      </c>
      <c r="G119" s="123" t="s">
        <v>268</v>
      </c>
      <c r="H119" t="s">
        <v>412</v>
      </c>
      <c r="I119" s="123">
        <v>2014</v>
      </c>
      <c r="J119" s="174" t="s">
        <v>597</v>
      </c>
      <c r="K119" s="203" t="s">
        <v>601</v>
      </c>
      <c r="L119" s="203">
        <v>102.067</v>
      </c>
      <c r="M119" s="203" t="s">
        <v>449</v>
      </c>
      <c r="N119" s="203">
        <v>101.726</v>
      </c>
      <c r="P119" s="125">
        <f t="shared" si="26"/>
        <v>34.0999999999994</v>
      </c>
      <c r="Q119" s="138">
        <f t="shared" si="27"/>
        <v>586.6510263929722</v>
      </c>
      <c r="R119" s="125">
        <f t="shared" si="28"/>
        <v>5.74</v>
      </c>
      <c r="S119">
        <v>1</v>
      </c>
      <c r="T119" s="123" t="s">
        <v>268</v>
      </c>
      <c r="U119" s="123">
        <v>2014</v>
      </c>
      <c r="V119" s="161">
        <v>41866</v>
      </c>
      <c r="W119" s="131">
        <v>16</v>
      </c>
      <c r="X119" s="203">
        <v>102.342</v>
      </c>
      <c r="Y119" t="s">
        <v>383</v>
      </c>
      <c r="Z119" s="124" t="str">
        <f t="shared" si="12"/>
        <v>勝ち</v>
      </c>
      <c r="AA119" s="125">
        <f t="shared" si="29"/>
        <v>0.2750000000000057</v>
      </c>
      <c r="AB119" s="126">
        <f t="shared" si="30"/>
        <v>27.50000000000057</v>
      </c>
      <c r="AC119" s="137">
        <f t="shared" si="31"/>
        <v>0</v>
      </c>
      <c r="AD119" s="125">
        <f t="shared" si="32"/>
        <v>2750.000000000057</v>
      </c>
      <c r="AE119">
        <f t="shared" si="33"/>
        <v>2750.000000000057</v>
      </c>
      <c r="AG119" t="s">
        <v>600</v>
      </c>
    </row>
    <row r="120" spans="1:31" ht="13.5" customHeight="1">
      <c r="A120" s="125">
        <f t="shared" si="13"/>
        <v>116</v>
      </c>
      <c r="B120" s="125">
        <f t="shared" si="24"/>
        <v>1002990</v>
      </c>
      <c r="C120" s="129">
        <f>'ルール＆合計'!$F$3</f>
        <v>0.02</v>
      </c>
      <c r="D120" s="128">
        <f t="shared" si="25"/>
        <v>20059.8</v>
      </c>
      <c r="E120" s="131">
        <v>10000</v>
      </c>
      <c r="F120" s="123" t="s">
        <v>90</v>
      </c>
      <c r="G120" s="123" t="s">
        <v>268</v>
      </c>
      <c r="H120" t="s">
        <v>412</v>
      </c>
      <c r="I120" s="123">
        <v>2014</v>
      </c>
      <c r="J120" s="174" t="s">
        <v>603</v>
      </c>
      <c r="K120" s="131" t="s">
        <v>576</v>
      </c>
      <c r="L120" s="203">
        <v>102.078</v>
      </c>
      <c r="M120" s="203" t="s">
        <v>602</v>
      </c>
      <c r="N120" s="203">
        <v>101.852</v>
      </c>
      <c r="P120" s="125">
        <f t="shared" si="26"/>
        <v>22.59999999999991</v>
      </c>
      <c r="Q120" s="138">
        <f t="shared" si="27"/>
        <v>887.601769911508</v>
      </c>
      <c r="R120" s="125">
        <f t="shared" si="28"/>
        <v>8.69</v>
      </c>
      <c r="S120">
        <v>1</v>
      </c>
      <c r="T120" s="123" t="s">
        <v>268</v>
      </c>
      <c r="U120" s="123">
        <v>2014</v>
      </c>
      <c r="V120" s="161">
        <v>41862</v>
      </c>
      <c r="W120" s="131">
        <v>4</v>
      </c>
      <c r="X120" s="203">
        <v>102.342</v>
      </c>
      <c r="Y120" t="s">
        <v>383</v>
      </c>
      <c r="Z120" s="124" t="str">
        <f t="shared" si="12"/>
        <v>勝ち</v>
      </c>
      <c r="AA120" s="125">
        <f t="shared" si="29"/>
        <v>0.2639999999999958</v>
      </c>
      <c r="AB120" s="126">
        <f t="shared" si="30"/>
        <v>26.39999999999958</v>
      </c>
      <c r="AC120" s="137">
        <f t="shared" si="31"/>
        <v>0</v>
      </c>
      <c r="AD120" s="125">
        <f t="shared" si="32"/>
        <v>2639.999999999958</v>
      </c>
      <c r="AE120">
        <f t="shared" si="33"/>
        <v>2639.999999999958</v>
      </c>
    </row>
    <row r="121" spans="1:33" ht="13.5" customHeight="1">
      <c r="A121" s="125">
        <f t="shared" si="13"/>
        <v>117</v>
      </c>
      <c r="B121" s="125">
        <f t="shared" si="24"/>
        <v>1005630</v>
      </c>
      <c r="C121" s="129">
        <f>'ルール＆合計'!$F$3</f>
        <v>0.02</v>
      </c>
      <c r="D121" s="128">
        <f t="shared" si="25"/>
        <v>20112.600000000002</v>
      </c>
      <c r="E121" s="131">
        <v>10000</v>
      </c>
      <c r="F121" s="123" t="s">
        <v>90</v>
      </c>
      <c r="G121" s="123" t="s">
        <v>268</v>
      </c>
      <c r="H121" t="s">
        <v>412</v>
      </c>
      <c r="I121" s="123">
        <v>2014</v>
      </c>
      <c r="J121" s="174" t="s">
        <v>604</v>
      </c>
      <c r="K121" s="203" t="s">
        <v>605</v>
      </c>
      <c r="L121" s="203">
        <v>102.52</v>
      </c>
      <c r="M121" s="203" t="s">
        <v>486</v>
      </c>
      <c r="N121" s="203">
        <v>102.324</v>
      </c>
      <c r="P121" s="125">
        <f t="shared" si="26"/>
        <v>19.599999999999795</v>
      </c>
      <c r="Q121" s="138">
        <f t="shared" si="27"/>
        <v>1026.1530612245006</v>
      </c>
      <c r="R121" s="125">
        <f t="shared" si="28"/>
        <v>10</v>
      </c>
      <c r="S121">
        <v>1</v>
      </c>
      <c r="T121" s="123" t="s">
        <v>268</v>
      </c>
      <c r="U121" s="123">
        <v>2014</v>
      </c>
      <c r="V121" s="161">
        <v>41866</v>
      </c>
      <c r="W121" s="131">
        <v>16</v>
      </c>
      <c r="X121" s="203">
        <v>102.324</v>
      </c>
      <c r="Y121" t="s">
        <v>97</v>
      </c>
      <c r="Z121" s="124" t="str">
        <f t="shared" si="12"/>
        <v>負け</v>
      </c>
      <c r="AA121" s="125">
        <f t="shared" si="29"/>
        <v>-0.19599999999999795</v>
      </c>
      <c r="AB121" s="126">
        <f t="shared" si="30"/>
        <v>0</v>
      </c>
      <c r="AC121" s="137">
        <f t="shared" si="31"/>
        <v>-19.599999999999795</v>
      </c>
      <c r="AD121" s="125">
        <f t="shared" si="32"/>
        <v>-1959.9999999999795</v>
      </c>
      <c r="AE121">
        <f t="shared" si="33"/>
        <v>-1959.9999999999795</v>
      </c>
      <c r="AG121" t="s">
        <v>600</v>
      </c>
    </row>
    <row r="122" spans="1:33" ht="13.5" customHeight="1">
      <c r="A122" s="125">
        <f t="shared" si="13"/>
        <v>118</v>
      </c>
      <c r="B122" s="125">
        <f t="shared" si="24"/>
        <v>1003670</v>
      </c>
      <c r="C122" s="129">
        <f>'ルール＆合計'!$F$3</f>
        <v>0.02</v>
      </c>
      <c r="D122" s="128">
        <f t="shared" si="25"/>
        <v>20073.4</v>
      </c>
      <c r="E122" s="131">
        <v>10000</v>
      </c>
      <c r="F122" s="123" t="s">
        <v>90</v>
      </c>
      <c r="G122" s="123" t="s">
        <v>268</v>
      </c>
      <c r="H122" t="s">
        <v>412</v>
      </c>
      <c r="I122" s="123">
        <v>2014</v>
      </c>
      <c r="J122" s="174" t="s">
        <v>606</v>
      </c>
      <c r="K122" s="203" t="s">
        <v>491</v>
      </c>
      <c r="L122" s="203">
        <v>102.491</v>
      </c>
      <c r="M122" s="203" t="s">
        <v>486</v>
      </c>
      <c r="N122" s="203">
        <v>102.302</v>
      </c>
      <c r="P122" s="125">
        <f t="shared" si="26"/>
        <v>18.899999999999295</v>
      </c>
      <c r="Q122" s="138">
        <f t="shared" si="27"/>
        <v>1062.0846560846958</v>
      </c>
      <c r="R122" s="125">
        <f t="shared" si="28"/>
        <v>10.36</v>
      </c>
      <c r="S122">
        <v>1</v>
      </c>
      <c r="T122" s="123" t="s">
        <v>268</v>
      </c>
      <c r="U122" s="123">
        <v>2014</v>
      </c>
      <c r="V122" s="161">
        <v>41877</v>
      </c>
      <c r="W122" s="131">
        <v>4</v>
      </c>
      <c r="X122" s="203">
        <v>103.863</v>
      </c>
      <c r="Y122" t="s">
        <v>383</v>
      </c>
      <c r="Z122" s="124" t="str">
        <f t="shared" si="12"/>
        <v>勝ち</v>
      </c>
      <c r="AA122" s="125">
        <f t="shared" si="29"/>
        <v>1.3719999999999999</v>
      </c>
      <c r="AB122" s="126">
        <f t="shared" si="30"/>
        <v>137.2</v>
      </c>
      <c r="AC122" s="137">
        <f t="shared" si="31"/>
        <v>0</v>
      </c>
      <c r="AD122" s="125">
        <f t="shared" si="32"/>
        <v>13719.999999999998</v>
      </c>
      <c r="AE122">
        <f t="shared" si="33"/>
        <v>13719.999999999998</v>
      </c>
      <c r="AG122" t="s">
        <v>607</v>
      </c>
    </row>
    <row r="123" spans="1:33" ht="13.5" customHeight="1">
      <c r="A123" s="125">
        <f t="shared" si="13"/>
        <v>119</v>
      </c>
      <c r="B123" s="125">
        <f t="shared" si="24"/>
        <v>1017390</v>
      </c>
      <c r="C123" s="129">
        <f>'ルール＆合計'!$F$3</f>
        <v>0.02</v>
      </c>
      <c r="D123" s="128">
        <f t="shared" si="25"/>
        <v>20347.8</v>
      </c>
      <c r="E123" s="131">
        <v>10000</v>
      </c>
      <c r="F123" s="123" t="s">
        <v>90</v>
      </c>
      <c r="G123" s="123" t="s">
        <v>268</v>
      </c>
      <c r="H123" t="s">
        <v>424</v>
      </c>
      <c r="I123" s="123">
        <v>2014</v>
      </c>
      <c r="J123" s="174" t="s">
        <v>608</v>
      </c>
      <c r="K123" s="131" t="s">
        <v>478</v>
      </c>
      <c r="L123" s="203">
        <v>103.748</v>
      </c>
      <c r="M123" s="203" t="s">
        <v>489</v>
      </c>
      <c r="N123" s="203">
        <v>103.948</v>
      </c>
      <c r="P123" s="125">
        <f t="shared" si="26"/>
        <v>19.999999999998863</v>
      </c>
      <c r="Q123" s="138">
        <f t="shared" si="27"/>
        <v>1017.3900000000577</v>
      </c>
      <c r="R123" s="125">
        <f t="shared" si="28"/>
        <v>9.8</v>
      </c>
      <c r="S123">
        <v>1</v>
      </c>
      <c r="T123" s="123" t="s">
        <v>268</v>
      </c>
      <c r="U123" s="123">
        <v>2014</v>
      </c>
      <c r="V123" s="161">
        <v>41873</v>
      </c>
      <c r="W123" s="131">
        <v>16</v>
      </c>
      <c r="X123" s="203">
        <v>103.948</v>
      </c>
      <c r="Y123" t="s">
        <v>97</v>
      </c>
      <c r="Z123" s="124" t="str">
        <f t="shared" si="12"/>
        <v>負け</v>
      </c>
      <c r="AA123" s="125">
        <f t="shared" si="29"/>
        <v>0.19999999999998863</v>
      </c>
      <c r="AB123" s="126">
        <f t="shared" si="30"/>
        <v>0</v>
      </c>
      <c r="AC123" s="137">
        <f t="shared" si="31"/>
        <v>19.999999999998863</v>
      </c>
      <c r="AD123" s="125">
        <f t="shared" si="32"/>
        <v>-1999.9999999998863</v>
      </c>
      <c r="AE123">
        <f t="shared" si="33"/>
        <v>-1999.9999999998863</v>
      </c>
      <c r="AG123" t="s">
        <v>609</v>
      </c>
    </row>
    <row r="124" spans="1:33" ht="13.5" customHeight="1">
      <c r="A124" s="125">
        <f t="shared" si="13"/>
        <v>120</v>
      </c>
      <c r="B124" s="125">
        <f t="shared" si="24"/>
        <v>1015390</v>
      </c>
      <c r="C124" s="129">
        <f>'ルール＆合計'!$F$3</f>
        <v>0.02</v>
      </c>
      <c r="D124" s="128">
        <f t="shared" si="25"/>
        <v>20307.8</v>
      </c>
      <c r="E124" s="131">
        <v>10000</v>
      </c>
      <c r="F124" s="123" t="s">
        <v>90</v>
      </c>
      <c r="G124" s="123" t="s">
        <v>268</v>
      </c>
      <c r="H124" t="s">
        <v>412</v>
      </c>
      <c r="I124" s="123">
        <v>2014</v>
      </c>
      <c r="J124" s="174" t="s">
        <v>610</v>
      </c>
      <c r="K124" s="131" t="s">
        <v>455</v>
      </c>
      <c r="L124" s="203">
        <v>104.195</v>
      </c>
      <c r="M124" s="203" t="s">
        <v>486</v>
      </c>
      <c r="N124" s="203">
        <v>103.631</v>
      </c>
      <c r="P124" s="125">
        <f t="shared" si="26"/>
        <v>56.399999999999295</v>
      </c>
      <c r="Q124" s="138">
        <f t="shared" si="27"/>
        <v>360.0673758865293</v>
      </c>
      <c r="R124" s="125">
        <f t="shared" si="28"/>
        <v>3.45</v>
      </c>
      <c r="S124">
        <v>1</v>
      </c>
      <c r="T124" s="123" t="s">
        <v>268</v>
      </c>
      <c r="U124" s="123">
        <v>2014</v>
      </c>
      <c r="V124" s="161">
        <v>41879</v>
      </c>
      <c r="W124" s="131">
        <v>12</v>
      </c>
      <c r="X124" s="203">
        <v>103.631</v>
      </c>
      <c r="Y124" t="s">
        <v>97</v>
      </c>
      <c r="Z124" s="124" t="str">
        <f t="shared" si="12"/>
        <v>負け</v>
      </c>
      <c r="AA124" s="125">
        <f t="shared" si="29"/>
        <v>-0.563999999999993</v>
      </c>
      <c r="AB124" s="126">
        <f t="shared" si="30"/>
        <v>0</v>
      </c>
      <c r="AC124" s="137">
        <f t="shared" si="31"/>
        <v>-56.399999999999295</v>
      </c>
      <c r="AD124" s="125">
        <f t="shared" si="32"/>
        <v>-5639.999999999929</v>
      </c>
      <c r="AE124">
        <f t="shared" si="33"/>
        <v>-5639.999999999929</v>
      </c>
      <c r="AG124" t="s">
        <v>611</v>
      </c>
    </row>
    <row r="125" spans="1:31" ht="13.5" customHeight="1">
      <c r="A125" s="125">
        <f t="shared" si="13"/>
        <v>121</v>
      </c>
      <c r="B125" s="125">
        <f t="shared" si="24"/>
        <v>1009750</v>
      </c>
      <c r="C125" s="129">
        <f>'ルール＆合計'!$F$3</f>
        <v>0.02</v>
      </c>
      <c r="D125" s="128">
        <f t="shared" si="25"/>
        <v>20195</v>
      </c>
      <c r="E125" s="131">
        <v>10000</v>
      </c>
      <c r="F125" s="123" t="s">
        <v>90</v>
      </c>
      <c r="G125" s="123" t="s">
        <v>268</v>
      </c>
      <c r="H125" t="s">
        <v>412</v>
      </c>
      <c r="I125" s="123">
        <v>2014</v>
      </c>
      <c r="J125" s="174" t="s">
        <v>612</v>
      </c>
      <c r="K125" s="203" t="s">
        <v>420</v>
      </c>
      <c r="L125" s="203">
        <v>104.056</v>
      </c>
      <c r="M125" s="203" t="s">
        <v>486</v>
      </c>
      <c r="N125" s="203">
        <v>103.95</v>
      </c>
      <c r="P125" s="125">
        <f t="shared" si="26"/>
        <v>10.599999999999454</v>
      </c>
      <c r="Q125" s="138">
        <f t="shared" si="27"/>
        <v>1905.188679245381</v>
      </c>
      <c r="R125" s="125">
        <f t="shared" si="28"/>
        <v>18.3</v>
      </c>
      <c r="S125">
        <v>1</v>
      </c>
      <c r="T125" s="123" t="s">
        <v>268</v>
      </c>
      <c r="U125" s="123">
        <v>2014</v>
      </c>
      <c r="V125" s="161">
        <v>41877</v>
      </c>
      <c r="W125" s="131">
        <v>4</v>
      </c>
      <c r="X125" s="203">
        <v>103.95</v>
      </c>
      <c r="Y125" t="s">
        <v>97</v>
      </c>
      <c r="Z125" s="124" t="str">
        <f t="shared" si="12"/>
        <v>負け</v>
      </c>
      <c r="AA125" s="125">
        <f t="shared" si="29"/>
        <v>-0.10599999999999454</v>
      </c>
      <c r="AB125" s="126">
        <f t="shared" si="30"/>
        <v>0</v>
      </c>
      <c r="AC125" s="137">
        <f t="shared" si="31"/>
        <v>-10.599999999999454</v>
      </c>
      <c r="AD125" s="125">
        <f t="shared" si="32"/>
        <v>-1059.9999999999454</v>
      </c>
      <c r="AE125">
        <f t="shared" si="33"/>
        <v>-1059.9999999999454</v>
      </c>
    </row>
    <row r="126" spans="1:31" ht="13.5" customHeight="1">
      <c r="A126" s="125">
        <f t="shared" si="13"/>
        <v>122</v>
      </c>
      <c r="B126" s="125">
        <f t="shared" si="24"/>
        <v>1008690</v>
      </c>
      <c r="C126" s="129">
        <f>'ルール＆合計'!$F$3</f>
        <v>0.02</v>
      </c>
      <c r="D126" s="128">
        <f t="shared" si="25"/>
        <v>20173.8</v>
      </c>
      <c r="E126" s="131">
        <v>10000</v>
      </c>
      <c r="F126" s="123" t="s">
        <v>90</v>
      </c>
      <c r="G126" s="123" t="s">
        <v>268</v>
      </c>
      <c r="H126" t="s">
        <v>412</v>
      </c>
      <c r="I126" s="123">
        <v>2014</v>
      </c>
      <c r="J126" s="174" t="s">
        <v>613</v>
      </c>
      <c r="K126" s="203" t="s">
        <v>571</v>
      </c>
      <c r="L126" s="203">
        <v>104.173</v>
      </c>
      <c r="M126" s="203" t="s">
        <v>423</v>
      </c>
      <c r="N126" s="203">
        <v>103.84</v>
      </c>
      <c r="P126" s="125">
        <f t="shared" si="26"/>
        <v>33.29999999999984</v>
      </c>
      <c r="Q126" s="138">
        <f t="shared" si="27"/>
        <v>605.8198198198227</v>
      </c>
      <c r="R126" s="125">
        <f t="shared" si="28"/>
        <v>5.81</v>
      </c>
      <c r="S126">
        <v>1</v>
      </c>
      <c r="T126" s="123" t="s">
        <v>268</v>
      </c>
      <c r="X126" s="203">
        <v>104.173</v>
      </c>
      <c r="Y126" t="s">
        <v>234</v>
      </c>
      <c r="Z126" s="124" t="str">
        <f t="shared" si="12"/>
        <v>引分</v>
      </c>
      <c r="AA126" s="125">
        <f t="shared" si="29"/>
        <v>0</v>
      </c>
      <c r="AB126" s="126">
        <f t="shared" si="30"/>
        <v>0</v>
      </c>
      <c r="AC126" s="137">
        <f t="shared" si="31"/>
        <v>0</v>
      </c>
      <c r="AD126" s="125">
        <f t="shared" si="32"/>
        <v>0</v>
      </c>
      <c r="AE126">
        <f t="shared" si="33"/>
        <v>0</v>
      </c>
    </row>
    <row r="127" spans="1:31" ht="13.5" customHeight="1">
      <c r="A127" s="125">
        <f t="shared" si="13"/>
        <v>123</v>
      </c>
      <c r="B127" s="125">
        <f t="shared" si="24"/>
        <v>1008690</v>
      </c>
      <c r="C127" s="129">
        <f>'ルール＆合計'!$F$3</f>
        <v>0.02</v>
      </c>
      <c r="D127" s="128">
        <f t="shared" si="25"/>
        <v>20173.8</v>
      </c>
      <c r="E127" s="131">
        <v>10000</v>
      </c>
      <c r="F127" s="123" t="s">
        <v>90</v>
      </c>
      <c r="G127" s="123" t="s">
        <v>268</v>
      </c>
      <c r="I127" s="123">
        <v>2014</v>
      </c>
      <c r="P127" s="125">
        <f t="shared" si="26"/>
      </c>
      <c r="Q127" s="138">
        <f t="shared" si="27"/>
      </c>
      <c r="R127" s="125">
        <f t="shared" si="28"/>
      </c>
      <c r="S127">
        <v>1</v>
      </c>
      <c r="T127" s="123" t="s">
        <v>268</v>
      </c>
      <c r="Z127" s="124">
        <f t="shared" si="12"/>
      </c>
      <c r="AA127" s="125">
        <f t="shared" si="29"/>
      </c>
      <c r="AB127" s="126">
        <f t="shared" si="30"/>
      </c>
      <c r="AC127" s="137">
        <f t="shared" si="31"/>
      </c>
      <c r="AD127" s="125">
        <f t="shared" si="32"/>
      </c>
      <c r="AE127" t="e">
        <f t="shared" si="33"/>
        <v>#VALUE!</v>
      </c>
    </row>
    <row r="128" spans="1:31" ht="13.5" customHeight="1">
      <c r="A128" s="125">
        <f t="shared" si="13"/>
        <v>124</v>
      </c>
      <c r="B128" s="125">
        <f t="shared" si="24"/>
      </c>
      <c r="C128" s="129">
        <f>'ルール＆合計'!$F$3</f>
        <v>0.02</v>
      </c>
      <c r="D128" s="128" t="e">
        <f t="shared" si="25"/>
        <v>#VALUE!</v>
      </c>
      <c r="E128" s="131">
        <v>10000</v>
      </c>
      <c r="F128" s="123" t="s">
        <v>90</v>
      </c>
      <c r="G128" s="123" t="s">
        <v>268</v>
      </c>
      <c r="I128" s="123">
        <v>2014</v>
      </c>
      <c r="P128" s="125">
        <f t="shared" si="26"/>
      </c>
      <c r="Q128" s="138">
        <f t="shared" si="27"/>
      </c>
      <c r="R128" s="125">
        <f t="shared" si="28"/>
      </c>
      <c r="S128">
        <v>1</v>
      </c>
      <c r="T128" s="123" t="s">
        <v>268</v>
      </c>
      <c r="Z128" s="124">
        <f t="shared" si="12"/>
      </c>
      <c r="AA128" s="125">
        <f t="shared" si="29"/>
      </c>
      <c r="AB128" s="126">
        <f t="shared" si="30"/>
      </c>
      <c r="AC128" s="137">
        <f t="shared" si="31"/>
      </c>
      <c r="AD128" s="125">
        <f t="shared" si="32"/>
      </c>
      <c r="AE128" t="e">
        <f t="shared" si="33"/>
        <v>#VALUE!</v>
      </c>
    </row>
    <row r="129" spans="1:31" ht="13.5" customHeight="1">
      <c r="A129" s="125">
        <f t="shared" si="13"/>
        <v>125</v>
      </c>
      <c r="B129" s="125">
        <f t="shared" si="24"/>
      </c>
      <c r="C129" s="129">
        <f>'ルール＆合計'!$F$3</f>
        <v>0.02</v>
      </c>
      <c r="D129" s="128" t="e">
        <f t="shared" si="25"/>
        <v>#VALUE!</v>
      </c>
      <c r="E129" s="131">
        <v>10000</v>
      </c>
      <c r="F129" s="123" t="s">
        <v>90</v>
      </c>
      <c r="G129" s="123" t="s">
        <v>268</v>
      </c>
      <c r="I129" s="123">
        <v>2014</v>
      </c>
      <c r="P129" s="125">
        <f t="shared" si="26"/>
      </c>
      <c r="Q129" s="138">
        <f t="shared" si="27"/>
      </c>
      <c r="R129" s="125">
        <f t="shared" si="28"/>
      </c>
      <c r="S129">
        <v>1</v>
      </c>
      <c r="T129" s="123" t="s">
        <v>268</v>
      </c>
      <c r="Z129" s="124">
        <f t="shared" si="12"/>
      </c>
      <c r="AA129" s="125">
        <f t="shared" si="29"/>
      </c>
      <c r="AB129" s="126">
        <f t="shared" si="30"/>
      </c>
      <c r="AC129" s="137">
        <f t="shared" si="31"/>
      </c>
      <c r="AD129" s="125">
        <f t="shared" si="32"/>
      </c>
      <c r="AE129" t="e">
        <f t="shared" si="33"/>
        <v>#VALUE!</v>
      </c>
    </row>
    <row r="130" spans="1:31" ht="13.5" customHeight="1">
      <c r="A130" s="125">
        <f t="shared" si="13"/>
        <v>126</v>
      </c>
      <c r="B130" s="125">
        <f t="shared" si="24"/>
      </c>
      <c r="C130" s="129">
        <f>'ルール＆合計'!$F$3</f>
        <v>0.02</v>
      </c>
      <c r="D130" s="128" t="e">
        <f t="shared" si="25"/>
        <v>#VALUE!</v>
      </c>
      <c r="E130" s="131">
        <v>10000</v>
      </c>
      <c r="F130" s="123" t="s">
        <v>90</v>
      </c>
      <c r="G130" s="123" t="s">
        <v>268</v>
      </c>
      <c r="I130" s="123">
        <v>2014</v>
      </c>
      <c r="P130" s="125">
        <f t="shared" si="26"/>
      </c>
      <c r="Q130" s="138">
        <f t="shared" si="27"/>
      </c>
      <c r="R130" s="125">
        <f t="shared" si="28"/>
      </c>
      <c r="S130">
        <v>1</v>
      </c>
      <c r="T130" s="123" t="s">
        <v>268</v>
      </c>
      <c r="Z130" s="124">
        <f t="shared" si="12"/>
      </c>
      <c r="AA130" s="125">
        <f t="shared" si="29"/>
      </c>
      <c r="AB130" s="126">
        <f t="shared" si="30"/>
      </c>
      <c r="AC130" s="137">
        <f t="shared" si="31"/>
      </c>
      <c r="AD130" s="125">
        <f t="shared" si="32"/>
      </c>
      <c r="AE130" t="e">
        <f t="shared" si="33"/>
        <v>#VALUE!</v>
      </c>
    </row>
    <row r="131" spans="1:31" ht="13.5" customHeight="1">
      <c r="A131" s="125">
        <f t="shared" si="13"/>
        <v>127</v>
      </c>
      <c r="B131" s="125">
        <f t="shared" si="24"/>
      </c>
      <c r="C131" s="129">
        <f>'ルール＆合計'!$F$3</f>
        <v>0.02</v>
      </c>
      <c r="D131" s="128" t="e">
        <f t="shared" si="25"/>
        <v>#VALUE!</v>
      </c>
      <c r="E131" s="131">
        <v>10000</v>
      </c>
      <c r="F131" s="123" t="s">
        <v>90</v>
      </c>
      <c r="G131" s="123" t="s">
        <v>268</v>
      </c>
      <c r="I131" s="123">
        <v>2014</v>
      </c>
      <c r="P131" s="125">
        <f t="shared" si="26"/>
      </c>
      <c r="Q131" s="138">
        <f t="shared" si="27"/>
      </c>
      <c r="R131" s="125">
        <f t="shared" si="28"/>
      </c>
      <c r="S131">
        <v>1</v>
      </c>
      <c r="T131" s="123" t="s">
        <v>268</v>
      </c>
      <c r="Z131" s="124">
        <f t="shared" si="12"/>
      </c>
      <c r="AA131" s="125">
        <f t="shared" si="29"/>
      </c>
      <c r="AB131" s="126">
        <f t="shared" si="30"/>
      </c>
      <c r="AC131" s="137">
        <f t="shared" si="31"/>
      </c>
      <c r="AD131" s="125">
        <f t="shared" si="32"/>
      </c>
      <c r="AE131" t="e">
        <f t="shared" si="33"/>
        <v>#VALUE!</v>
      </c>
    </row>
    <row r="132" spans="1:31" ht="13.5" customHeight="1">
      <c r="A132" s="125">
        <f t="shared" si="13"/>
        <v>128</v>
      </c>
      <c r="B132" s="125">
        <f t="shared" si="24"/>
      </c>
      <c r="C132" s="129">
        <f>'ルール＆合計'!$F$3</f>
        <v>0.02</v>
      </c>
      <c r="D132" s="128" t="e">
        <f t="shared" si="25"/>
        <v>#VALUE!</v>
      </c>
      <c r="E132" s="131">
        <v>10000</v>
      </c>
      <c r="F132" s="123" t="s">
        <v>90</v>
      </c>
      <c r="G132" s="123" t="s">
        <v>268</v>
      </c>
      <c r="I132" s="123">
        <v>2014</v>
      </c>
      <c r="P132" s="125">
        <f t="shared" si="26"/>
      </c>
      <c r="Q132" s="138">
        <f t="shared" si="27"/>
      </c>
      <c r="R132" s="125">
        <f t="shared" si="28"/>
      </c>
      <c r="S132">
        <v>1</v>
      </c>
      <c r="T132" s="123" t="s">
        <v>268</v>
      </c>
      <c r="Z132" s="124">
        <f t="shared" si="12"/>
      </c>
      <c r="AA132" s="125">
        <f t="shared" si="29"/>
      </c>
      <c r="AB132" s="126">
        <f t="shared" si="30"/>
      </c>
      <c r="AC132" s="137">
        <f t="shared" si="31"/>
      </c>
      <c r="AD132" s="125">
        <f t="shared" si="32"/>
      </c>
      <c r="AE132" t="e">
        <f t="shared" si="33"/>
        <v>#VALUE!</v>
      </c>
    </row>
    <row r="133" spans="1:31" ht="13.5" customHeight="1">
      <c r="A133" s="125">
        <f t="shared" si="13"/>
        <v>129</v>
      </c>
      <c r="B133" s="125">
        <f t="shared" si="24"/>
      </c>
      <c r="C133" s="129">
        <f>'ルール＆合計'!$F$3</f>
        <v>0.02</v>
      </c>
      <c r="D133" s="128" t="e">
        <f t="shared" si="25"/>
        <v>#VALUE!</v>
      </c>
      <c r="E133" s="131">
        <v>10000</v>
      </c>
      <c r="F133" s="123" t="s">
        <v>90</v>
      </c>
      <c r="G133" s="123" t="s">
        <v>268</v>
      </c>
      <c r="I133" s="123">
        <v>2014</v>
      </c>
      <c r="P133" s="125">
        <f t="shared" si="26"/>
      </c>
      <c r="Q133" s="138">
        <f t="shared" si="27"/>
      </c>
      <c r="R133" s="125">
        <f t="shared" si="28"/>
      </c>
      <c r="S133">
        <v>1</v>
      </c>
      <c r="T133" s="123" t="s">
        <v>268</v>
      </c>
      <c r="Z133" s="124">
        <f aca="true" t="shared" si="34" ref="Z133:Z167">IF(H133&lt;&gt;"",IF(H133="買",IF(AA133&gt;0,"勝ち",IF(AA133=0,"引分","負け")),IF(H133="売",IF(AA133&gt;0,"負け",IF(AA133=0,"引分","勝ち")))),"")</f>
      </c>
      <c r="AA133" s="125">
        <f t="shared" si="29"/>
      </c>
      <c r="AB133" s="126">
        <f t="shared" si="30"/>
      </c>
      <c r="AC133" s="137">
        <f t="shared" si="31"/>
      </c>
      <c r="AD133" s="125">
        <f t="shared" si="32"/>
      </c>
      <c r="AE133" t="e">
        <f t="shared" si="33"/>
        <v>#VALUE!</v>
      </c>
    </row>
    <row r="134" spans="1:31" ht="13.5" customHeight="1">
      <c r="A134" s="125">
        <f aca="true" t="shared" si="35" ref="A134:A167">IF($F134&lt;&gt;"",ROW()-4,"")</f>
        <v>130</v>
      </c>
      <c r="B134" s="125">
        <f t="shared" si="24"/>
      </c>
      <c r="C134" s="129">
        <f>'ルール＆合計'!$F$3</f>
        <v>0.02</v>
      </c>
      <c r="D134" s="128" t="e">
        <f t="shared" si="25"/>
        <v>#VALUE!</v>
      </c>
      <c r="E134" s="131">
        <v>10000</v>
      </c>
      <c r="F134" s="123" t="s">
        <v>90</v>
      </c>
      <c r="G134" s="123" t="s">
        <v>268</v>
      </c>
      <c r="I134" s="123">
        <v>2014</v>
      </c>
      <c r="P134" s="125">
        <f t="shared" si="26"/>
      </c>
      <c r="Q134" s="138">
        <f t="shared" si="27"/>
      </c>
      <c r="R134" s="125">
        <f t="shared" si="28"/>
      </c>
      <c r="S134">
        <v>1</v>
      </c>
      <c r="T134" s="123" t="s">
        <v>268</v>
      </c>
      <c r="Z134" s="124">
        <f t="shared" si="34"/>
      </c>
      <c r="AA134" s="125">
        <f t="shared" si="29"/>
      </c>
      <c r="AB134" s="126">
        <f t="shared" si="30"/>
      </c>
      <c r="AC134" s="137">
        <f t="shared" si="31"/>
      </c>
      <c r="AD134" s="125">
        <f t="shared" si="32"/>
      </c>
      <c r="AE134" t="e">
        <f t="shared" si="33"/>
        <v>#VALUE!</v>
      </c>
    </row>
    <row r="135" spans="1:31" ht="13.5" customHeight="1">
      <c r="A135" s="125">
        <f t="shared" si="35"/>
        <v>131</v>
      </c>
      <c r="B135" s="125">
        <f t="shared" si="24"/>
      </c>
      <c r="C135" s="129">
        <f>'ルール＆合計'!$F$3</f>
        <v>0.02</v>
      </c>
      <c r="D135" s="128" t="e">
        <f t="shared" si="25"/>
        <v>#VALUE!</v>
      </c>
      <c r="E135" s="131">
        <v>10000</v>
      </c>
      <c r="F135" s="123" t="s">
        <v>90</v>
      </c>
      <c r="G135" s="123" t="s">
        <v>268</v>
      </c>
      <c r="I135" s="123">
        <v>2014</v>
      </c>
      <c r="P135" s="125">
        <f t="shared" si="26"/>
      </c>
      <c r="Q135" s="138">
        <f t="shared" si="27"/>
      </c>
      <c r="R135" s="125">
        <f t="shared" si="28"/>
      </c>
      <c r="S135">
        <v>1</v>
      </c>
      <c r="T135" s="123" t="s">
        <v>268</v>
      </c>
      <c r="Z135" s="124">
        <f t="shared" si="34"/>
      </c>
      <c r="AA135" s="125">
        <f t="shared" si="29"/>
      </c>
      <c r="AB135" s="126">
        <f t="shared" si="30"/>
      </c>
      <c r="AC135" s="137">
        <f t="shared" si="31"/>
      </c>
      <c r="AD135" s="125">
        <f t="shared" si="32"/>
      </c>
      <c r="AE135" t="e">
        <f t="shared" si="33"/>
        <v>#VALUE!</v>
      </c>
    </row>
    <row r="136" spans="1:31" ht="13.5" customHeight="1">
      <c r="A136" s="125">
        <f t="shared" si="35"/>
        <v>132</v>
      </c>
      <c r="B136" s="125">
        <f t="shared" si="24"/>
      </c>
      <c r="C136" s="129">
        <f>'ルール＆合計'!$F$3</f>
        <v>0.02</v>
      </c>
      <c r="D136" s="128" t="e">
        <f t="shared" si="25"/>
        <v>#VALUE!</v>
      </c>
      <c r="E136" s="131">
        <v>10000</v>
      </c>
      <c r="F136" s="123" t="s">
        <v>90</v>
      </c>
      <c r="G136" s="123" t="s">
        <v>268</v>
      </c>
      <c r="I136" s="123">
        <v>2014</v>
      </c>
      <c r="P136" s="125">
        <f t="shared" si="26"/>
      </c>
      <c r="Q136" s="138">
        <f t="shared" si="27"/>
      </c>
      <c r="R136" s="125">
        <f t="shared" si="28"/>
      </c>
      <c r="S136">
        <v>1</v>
      </c>
      <c r="T136" s="123" t="s">
        <v>268</v>
      </c>
      <c r="Z136" s="124">
        <f t="shared" si="34"/>
      </c>
      <c r="AA136" s="125">
        <f t="shared" si="29"/>
      </c>
      <c r="AB136" s="126">
        <f t="shared" si="30"/>
      </c>
      <c r="AC136" s="137">
        <f t="shared" si="31"/>
      </c>
      <c r="AD136" s="125">
        <f t="shared" si="32"/>
      </c>
      <c r="AE136" t="e">
        <f t="shared" si="33"/>
        <v>#VALUE!</v>
      </c>
    </row>
    <row r="137" spans="1:31" ht="13.5" customHeight="1">
      <c r="A137" s="125">
        <f t="shared" si="35"/>
        <v>133</v>
      </c>
      <c r="B137" s="125">
        <f t="shared" si="24"/>
      </c>
      <c r="C137" s="129">
        <f>'ルール＆合計'!$F$3</f>
        <v>0.02</v>
      </c>
      <c r="D137" s="128" t="e">
        <f t="shared" si="25"/>
        <v>#VALUE!</v>
      </c>
      <c r="E137" s="131">
        <v>10000</v>
      </c>
      <c r="F137" s="123" t="s">
        <v>90</v>
      </c>
      <c r="G137" s="123" t="s">
        <v>268</v>
      </c>
      <c r="I137" s="123">
        <v>2014</v>
      </c>
      <c r="P137" s="125">
        <f t="shared" si="26"/>
      </c>
      <c r="Q137" s="138">
        <f t="shared" si="27"/>
      </c>
      <c r="R137" s="125">
        <f t="shared" si="28"/>
      </c>
      <c r="S137">
        <v>1</v>
      </c>
      <c r="T137" s="123" t="s">
        <v>268</v>
      </c>
      <c r="Z137" s="124">
        <f t="shared" si="34"/>
      </c>
      <c r="AA137" s="125">
        <f t="shared" si="29"/>
      </c>
      <c r="AB137" s="126">
        <f t="shared" si="30"/>
      </c>
      <c r="AC137" s="137">
        <f t="shared" si="31"/>
      </c>
      <c r="AD137" s="125">
        <f t="shared" si="32"/>
      </c>
      <c r="AE137" t="e">
        <f t="shared" si="33"/>
        <v>#VALUE!</v>
      </c>
    </row>
    <row r="138" spans="1:31" ht="13.5" customHeight="1">
      <c r="A138" s="125">
        <f t="shared" si="35"/>
        <v>134</v>
      </c>
      <c r="B138" s="125">
        <f t="shared" si="24"/>
      </c>
      <c r="C138" s="129">
        <f>'ルール＆合計'!$F$3</f>
        <v>0.02</v>
      </c>
      <c r="D138" s="128" t="e">
        <f t="shared" si="25"/>
        <v>#VALUE!</v>
      </c>
      <c r="E138" s="131">
        <v>10000</v>
      </c>
      <c r="F138" s="123" t="s">
        <v>90</v>
      </c>
      <c r="G138" s="123" t="s">
        <v>268</v>
      </c>
      <c r="I138" s="123">
        <v>2014</v>
      </c>
      <c r="P138" s="125">
        <f t="shared" si="26"/>
      </c>
      <c r="Q138" s="138">
        <f t="shared" si="27"/>
      </c>
      <c r="R138" s="125">
        <f t="shared" si="28"/>
      </c>
      <c r="S138">
        <v>1</v>
      </c>
      <c r="T138" s="123" t="s">
        <v>268</v>
      </c>
      <c r="Z138" s="124">
        <f t="shared" si="34"/>
      </c>
      <c r="AA138" s="125">
        <f t="shared" si="29"/>
      </c>
      <c r="AB138" s="126">
        <f t="shared" si="30"/>
      </c>
      <c r="AC138" s="137">
        <f t="shared" si="31"/>
      </c>
      <c r="AD138" s="125">
        <f t="shared" si="32"/>
      </c>
      <c r="AE138" t="e">
        <f t="shared" si="33"/>
        <v>#VALUE!</v>
      </c>
    </row>
    <row r="139" spans="1:31" ht="13.5" customHeight="1">
      <c r="A139" s="125">
        <f t="shared" si="35"/>
        <v>135</v>
      </c>
      <c r="B139" s="125">
        <f t="shared" si="24"/>
      </c>
      <c r="C139" s="129">
        <f>'ルール＆合計'!$F$3</f>
        <v>0.02</v>
      </c>
      <c r="D139" s="128" t="e">
        <f t="shared" si="25"/>
        <v>#VALUE!</v>
      </c>
      <c r="E139" s="131">
        <v>10000</v>
      </c>
      <c r="F139" s="123" t="s">
        <v>90</v>
      </c>
      <c r="G139" s="123" t="s">
        <v>268</v>
      </c>
      <c r="I139" s="123">
        <v>2014</v>
      </c>
      <c r="P139" s="125">
        <f t="shared" si="26"/>
      </c>
      <c r="Q139" s="138">
        <f t="shared" si="27"/>
      </c>
      <c r="R139" s="125">
        <f t="shared" si="28"/>
      </c>
      <c r="S139">
        <v>1</v>
      </c>
      <c r="T139" s="123" t="s">
        <v>268</v>
      </c>
      <c r="Z139" s="124">
        <f t="shared" si="34"/>
      </c>
      <c r="AA139" s="125">
        <f t="shared" si="29"/>
      </c>
      <c r="AB139" s="126">
        <f t="shared" si="30"/>
      </c>
      <c r="AC139" s="137">
        <f t="shared" si="31"/>
      </c>
      <c r="AD139" s="125">
        <f t="shared" si="32"/>
      </c>
      <c r="AE139" t="e">
        <f t="shared" si="33"/>
        <v>#VALUE!</v>
      </c>
    </row>
    <row r="140" spans="1:31" ht="13.5" customHeight="1">
      <c r="A140" s="125">
        <f t="shared" si="35"/>
        <v>136</v>
      </c>
      <c r="B140" s="125">
        <f t="shared" si="24"/>
      </c>
      <c r="C140" s="129">
        <f>'ルール＆合計'!$F$3</f>
        <v>0.02</v>
      </c>
      <c r="D140" s="128" t="e">
        <f t="shared" si="25"/>
        <v>#VALUE!</v>
      </c>
      <c r="E140" s="131">
        <v>10000</v>
      </c>
      <c r="F140" s="123" t="s">
        <v>90</v>
      </c>
      <c r="G140" s="123" t="s">
        <v>268</v>
      </c>
      <c r="I140" s="123">
        <v>2014</v>
      </c>
      <c r="P140" s="125">
        <f t="shared" si="26"/>
      </c>
      <c r="Q140" s="138">
        <f t="shared" si="27"/>
      </c>
      <c r="R140" s="125">
        <f t="shared" si="28"/>
      </c>
      <c r="S140">
        <v>1</v>
      </c>
      <c r="T140" s="123" t="s">
        <v>268</v>
      </c>
      <c r="Z140" s="124">
        <f t="shared" si="34"/>
      </c>
      <c r="AA140" s="125">
        <f t="shared" si="29"/>
      </c>
      <c r="AB140" s="126">
        <f t="shared" si="30"/>
      </c>
      <c r="AC140" s="137">
        <f t="shared" si="31"/>
      </c>
      <c r="AD140" s="125">
        <f t="shared" si="32"/>
      </c>
      <c r="AE140" t="e">
        <f t="shared" si="33"/>
        <v>#VALUE!</v>
      </c>
    </row>
    <row r="141" spans="1:31" ht="13.5" customHeight="1">
      <c r="A141" s="125">
        <f t="shared" si="35"/>
        <v>137</v>
      </c>
      <c r="B141" s="125">
        <f t="shared" si="24"/>
      </c>
      <c r="C141" s="129">
        <f>'ルール＆合計'!$F$3</f>
        <v>0.02</v>
      </c>
      <c r="D141" s="128" t="e">
        <f t="shared" si="25"/>
        <v>#VALUE!</v>
      </c>
      <c r="E141" s="131">
        <v>10000</v>
      </c>
      <c r="F141" s="123" t="s">
        <v>90</v>
      </c>
      <c r="G141" s="123" t="s">
        <v>268</v>
      </c>
      <c r="I141" s="123">
        <v>2014</v>
      </c>
      <c r="P141" s="125">
        <f t="shared" si="26"/>
      </c>
      <c r="Q141" s="138">
        <f t="shared" si="27"/>
      </c>
      <c r="R141" s="125">
        <f t="shared" si="28"/>
      </c>
      <c r="S141">
        <v>1</v>
      </c>
      <c r="T141" s="123" t="s">
        <v>268</v>
      </c>
      <c r="Z141" s="124">
        <f t="shared" si="34"/>
      </c>
      <c r="AA141" s="125">
        <f t="shared" si="29"/>
      </c>
      <c r="AB141" s="126">
        <f t="shared" si="30"/>
      </c>
      <c r="AC141" s="137">
        <f t="shared" si="31"/>
      </c>
      <c r="AD141" s="125">
        <f t="shared" si="32"/>
      </c>
      <c r="AE141" t="e">
        <f t="shared" si="33"/>
        <v>#VALUE!</v>
      </c>
    </row>
    <row r="142" spans="1:31" ht="13.5" customHeight="1">
      <c r="A142" s="125">
        <f t="shared" si="35"/>
        <v>138</v>
      </c>
      <c r="B142" s="125">
        <f t="shared" si="24"/>
      </c>
      <c r="C142" s="129">
        <f>'ルール＆合計'!$F$3</f>
        <v>0.02</v>
      </c>
      <c r="D142" s="128" t="e">
        <f t="shared" si="25"/>
        <v>#VALUE!</v>
      </c>
      <c r="E142" s="131">
        <v>10000</v>
      </c>
      <c r="F142" s="123" t="s">
        <v>90</v>
      </c>
      <c r="G142" s="123" t="s">
        <v>268</v>
      </c>
      <c r="I142" s="123">
        <v>2014</v>
      </c>
      <c r="P142" s="125">
        <f t="shared" si="26"/>
      </c>
      <c r="Q142" s="138">
        <f t="shared" si="27"/>
      </c>
      <c r="R142" s="125">
        <f t="shared" si="28"/>
      </c>
      <c r="S142">
        <v>1</v>
      </c>
      <c r="T142" s="123" t="s">
        <v>268</v>
      </c>
      <c r="Z142" s="124">
        <f t="shared" si="34"/>
      </c>
      <c r="AA142" s="125">
        <f t="shared" si="29"/>
      </c>
      <c r="AB142" s="126">
        <f t="shared" si="30"/>
      </c>
      <c r="AC142" s="137">
        <f t="shared" si="31"/>
      </c>
      <c r="AD142" s="125">
        <f t="shared" si="32"/>
      </c>
      <c r="AE142" t="e">
        <f t="shared" si="33"/>
        <v>#VALUE!</v>
      </c>
    </row>
    <row r="143" spans="1:31" ht="13.5" customHeight="1">
      <c r="A143" s="125">
        <f t="shared" si="35"/>
        <v>139</v>
      </c>
      <c r="B143" s="125">
        <f t="shared" si="24"/>
      </c>
      <c r="C143" s="129">
        <f>'ルール＆合計'!$F$3</f>
        <v>0.02</v>
      </c>
      <c r="D143" s="128" t="e">
        <f t="shared" si="25"/>
        <v>#VALUE!</v>
      </c>
      <c r="E143" s="131">
        <v>10000</v>
      </c>
      <c r="F143" s="123" t="s">
        <v>90</v>
      </c>
      <c r="G143" s="123" t="s">
        <v>268</v>
      </c>
      <c r="I143" s="123">
        <v>2014</v>
      </c>
      <c r="P143" s="125">
        <f t="shared" si="26"/>
      </c>
      <c r="Q143" s="138">
        <f t="shared" si="27"/>
      </c>
      <c r="R143" s="125">
        <f t="shared" si="28"/>
      </c>
      <c r="S143">
        <v>1</v>
      </c>
      <c r="T143" s="123" t="s">
        <v>268</v>
      </c>
      <c r="Z143" s="124">
        <f t="shared" si="34"/>
      </c>
      <c r="AA143" s="125">
        <f t="shared" si="29"/>
      </c>
      <c r="AB143" s="126">
        <f t="shared" si="30"/>
      </c>
      <c r="AC143" s="137">
        <f t="shared" si="31"/>
      </c>
      <c r="AD143" s="125">
        <f t="shared" si="32"/>
      </c>
      <c r="AE143" t="e">
        <f t="shared" si="33"/>
        <v>#VALUE!</v>
      </c>
    </row>
    <row r="144" spans="1:31" ht="13.5" customHeight="1">
      <c r="A144" s="125">
        <f t="shared" si="35"/>
        <v>140</v>
      </c>
      <c r="B144" s="125">
        <f t="shared" si="24"/>
      </c>
      <c r="C144" s="129">
        <f>'ルール＆合計'!$F$3</f>
        <v>0.02</v>
      </c>
      <c r="D144" s="128" t="e">
        <f t="shared" si="25"/>
        <v>#VALUE!</v>
      </c>
      <c r="E144" s="131">
        <v>10000</v>
      </c>
      <c r="F144" s="123" t="s">
        <v>90</v>
      </c>
      <c r="G144" s="123" t="s">
        <v>268</v>
      </c>
      <c r="I144" s="123">
        <v>2014</v>
      </c>
      <c r="P144" s="125">
        <f t="shared" si="26"/>
      </c>
      <c r="Q144" s="138">
        <f t="shared" si="27"/>
      </c>
      <c r="R144" s="125">
        <f t="shared" si="28"/>
      </c>
      <c r="S144">
        <v>1</v>
      </c>
      <c r="T144" s="123" t="s">
        <v>268</v>
      </c>
      <c r="Z144" s="124">
        <f t="shared" si="34"/>
      </c>
      <c r="AA144" s="125">
        <f t="shared" si="29"/>
      </c>
      <c r="AB144" s="126">
        <f t="shared" si="30"/>
      </c>
      <c r="AC144" s="137">
        <f t="shared" si="31"/>
      </c>
      <c r="AD144" s="125">
        <f t="shared" si="32"/>
      </c>
      <c r="AE144" t="e">
        <f t="shared" si="33"/>
        <v>#VALUE!</v>
      </c>
    </row>
    <row r="145" spans="1:31" ht="13.5" customHeight="1">
      <c r="A145" s="125">
        <f t="shared" si="35"/>
        <v>141</v>
      </c>
      <c r="B145" s="125">
        <f t="shared" si="24"/>
      </c>
      <c r="C145" s="129">
        <f>'ルール＆合計'!$F$3</f>
        <v>0.02</v>
      </c>
      <c r="D145" s="128" t="e">
        <f t="shared" si="25"/>
        <v>#VALUE!</v>
      </c>
      <c r="E145" s="131">
        <v>10000</v>
      </c>
      <c r="F145" s="123" t="s">
        <v>90</v>
      </c>
      <c r="G145" s="123" t="s">
        <v>268</v>
      </c>
      <c r="I145" s="123">
        <v>2014</v>
      </c>
      <c r="P145" s="125">
        <f t="shared" si="26"/>
      </c>
      <c r="Q145" s="138">
        <f t="shared" si="27"/>
      </c>
      <c r="R145" s="125">
        <f t="shared" si="28"/>
      </c>
      <c r="S145">
        <v>1</v>
      </c>
      <c r="T145" s="123" t="s">
        <v>268</v>
      </c>
      <c r="Z145" s="124">
        <f t="shared" si="34"/>
      </c>
      <c r="AA145" s="125">
        <f t="shared" si="29"/>
      </c>
      <c r="AB145" s="126">
        <f t="shared" si="30"/>
      </c>
      <c r="AC145" s="137">
        <f t="shared" si="31"/>
      </c>
      <c r="AD145" s="125">
        <f t="shared" si="32"/>
      </c>
      <c r="AE145" t="e">
        <f t="shared" si="33"/>
        <v>#VALUE!</v>
      </c>
    </row>
    <row r="146" spans="1:31" ht="13.5" customHeight="1">
      <c r="A146" s="125">
        <f t="shared" si="35"/>
        <v>142</v>
      </c>
      <c r="B146" s="125">
        <f t="shared" si="24"/>
      </c>
      <c r="C146" s="129">
        <f>'ルール＆合計'!$F$3</f>
        <v>0.02</v>
      </c>
      <c r="D146" s="128" t="e">
        <f t="shared" si="25"/>
        <v>#VALUE!</v>
      </c>
      <c r="E146" s="131">
        <v>10000</v>
      </c>
      <c r="F146" s="123" t="s">
        <v>90</v>
      </c>
      <c r="G146" s="123" t="s">
        <v>268</v>
      </c>
      <c r="I146" s="123">
        <v>2014</v>
      </c>
      <c r="P146" s="125">
        <f t="shared" si="26"/>
      </c>
      <c r="Q146" s="138">
        <f t="shared" si="27"/>
      </c>
      <c r="R146" s="125">
        <f t="shared" si="28"/>
      </c>
      <c r="S146">
        <v>1</v>
      </c>
      <c r="T146" s="123" t="s">
        <v>268</v>
      </c>
      <c r="Z146" s="124">
        <f t="shared" si="34"/>
      </c>
      <c r="AA146" s="125">
        <f t="shared" si="29"/>
      </c>
      <c r="AB146" s="126">
        <f t="shared" si="30"/>
      </c>
      <c r="AC146" s="137">
        <f t="shared" si="31"/>
      </c>
      <c r="AD146" s="125">
        <f t="shared" si="32"/>
      </c>
      <c r="AE146" t="e">
        <f t="shared" si="33"/>
        <v>#VALUE!</v>
      </c>
    </row>
    <row r="147" spans="1:31" ht="13.5" customHeight="1">
      <c r="A147" s="125">
        <f t="shared" si="35"/>
        <v>143</v>
      </c>
      <c r="B147" s="125">
        <f t="shared" si="24"/>
      </c>
      <c r="C147" s="129">
        <f>'ルール＆合計'!$F$3</f>
        <v>0.02</v>
      </c>
      <c r="D147" s="128" t="e">
        <f t="shared" si="25"/>
        <v>#VALUE!</v>
      </c>
      <c r="E147" s="131">
        <v>10000</v>
      </c>
      <c r="F147" s="123" t="s">
        <v>90</v>
      </c>
      <c r="G147" s="123" t="s">
        <v>268</v>
      </c>
      <c r="I147" s="123">
        <v>2014</v>
      </c>
      <c r="P147" s="125">
        <f t="shared" si="26"/>
      </c>
      <c r="Q147" s="138">
        <f t="shared" si="27"/>
      </c>
      <c r="R147" s="125">
        <f t="shared" si="28"/>
      </c>
      <c r="S147">
        <v>1</v>
      </c>
      <c r="T147" s="123" t="s">
        <v>268</v>
      </c>
      <c r="Z147" s="124">
        <f t="shared" si="34"/>
      </c>
      <c r="AA147" s="125">
        <f t="shared" si="29"/>
      </c>
      <c r="AB147" s="126">
        <f t="shared" si="30"/>
      </c>
      <c r="AC147" s="137">
        <f t="shared" si="31"/>
      </c>
      <c r="AD147" s="125">
        <f t="shared" si="32"/>
      </c>
      <c r="AE147" t="e">
        <f t="shared" si="33"/>
        <v>#VALUE!</v>
      </c>
    </row>
    <row r="148" spans="1:31" ht="13.5" customHeight="1">
      <c r="A148" s="125">
        <f t="shared" si="35"/>
        <v>144</v>
      </c>
      <c r="B148" s="125">
        <f t="shared" si="24"/>
      </c>
      <c r="C148" s="129">
        <f>'ルール＆合計'!$F$3</f>
        <v>0.02</v>
      </c>
      <c r="D148" s="128" t="e">
        <f t="shared" si="25"/>
        <v>#VALUE!</v>
      </c>
      <c r="E148" s="131">
        <v>10000</v>
      </c>
      <c r="F148" s="123" t="s">
        <v>90</v>
      </c>
      <c r="G148" s="123" t="s">
        <v>268</v>
      </c>
      <c r="I148" s="123">
        <v>2014</v>
      </c>
      <c r="P148" s="125">
        <f t="shared" si="26"/>
      </c>
      <c r="Q148" s="138">
        <f t="shared" si="27"/>
      </c>
      <c r="R148" s="125">
        <f t="shared" si="28"/>
      </c>
      <c r="S148">
        <v>1</v>
      </c>
      <c r="T148" s="123" t="s">
        <v>268</v>
      </c>
      <c r="Z148" s="124">
        <f t="shared" si="34"/>
      </c>
      <c r="AA148" s="125">
        <f t="shared" si="29"/>
      </c>
      <c r="AB148" s="126">
        <f t="shared" si="30"/>
      </c>
      <c r="AC148" s="137">
        <f t="shared" si="31"/>
      </c>
      <c r="AD148" s="125">
        <f t="shared" si="32"/>
      </c>
      <c r="AE148" t="e">
        <f t="shared" si="33"/>
        <v>#VALUE!</v>
      </c>
    </row>
    <row r="149" spans="1:31" ht="13.5" customHeight="1">
      <c r="A149" s="125">
        <f t="shared" si="35"/>
        <v>145</v>
      </c>
      <c r="B149" s="125">
        <f t="shared" si="24"/>
      </c>
      <c r="C149" s="129">
        <f>'ルール＆合計'!$F$3</f>
        <v>0.02</v>
      </c>
      <c r="D149" s="128" t="e">
        <f t="shared" si="25"/>
        <v>#VALUE!</v>
      </c>
      <c r="E149" s="131">
        <v>10000</v>
      </c>
      <c r="F149" s="123" t="s">
        <v>90</v>
      </c>
      <c r="G149" s="123" t="s">
        <v>268</v>
      </c>
      <c r="I149" s="123">
        <v>2014</v>
      </c>
      <c r="P149" s="125">
        <f t="shared" si="26"/>
      </c>
      <c r="Q149" s="138">
        <f t="shared" si="27"/>
      </c>
      <c r="R149" s="125">
        <f t="shared" si="28"/>
      </c>
      <c r="S149">
        <v>1</v>
      </c>
      <c r="T149" s="123" t="s">
        <v>268</v>
      </c>
      <c r="Z149" s="124">
        <f t="shared" si="34"/>
      </c>
      <c r="AA149" s="125">
        <f t="shared" si="29"/>
      </c>
      <c r="AB149" s="126">
        <f t="shared" si="30"/>
      </c>
      <c r="AC149" s="137">
        <f t="shared" si="31"/>
      </c>
      <c r="AD149" s="125">
        <f t="shared" si="32"/>
      </c>
      <c r="AE149" t="e">
        <f t="shared" si="33"/>
        <v>#VALUE!</v>
      </c>
    </row>
    <row r="150" spans="1:31" ht="13.5" customHeight="1">
      <c r="A150" s="125">
        <f t="shared" si="35"/>
        <v>146</v>
      </c>
      <c r="B150" s="125">
        <f t="shared" si="24"/>
      </c>
      <c r="C150" s="129">
        <f>'ルール＆合計'!$F$3</f>
        <v>0.02</v>
      </c>
      <c r="D150" s="128" t="e">
        <f t="shared" si="25"/>
        <v>#VALUE!</v>
      </c>
      <c r="E150" s="131">
        <v>10000</v>
      </c>
      <c r="F150" s="123" t="s">
        <v>90</v>
      </c>
      <c r="G150" s="123" t="s">
        <v>268</v>
      </c>
      <c r="I150" s="123">
        <v>2014</v>
      </c>
      <c r="P150" s="125">
        <f t="shared" si="26"/>
      </c>
      <c r="Q150" s="138">
        <f t="shared" si="27"/>
      </c>
      <c r="R150" s="125">
        <f t="shared" si="28"/>
      </c>
      <c r="S150">
        <v>1</v>
      </c>
      <c r="T150" s="123" t="s">
        <v>268</v>
      </c>
      <c r="Z150" s="124">
        <f t="shared" si="34"/>
      </c>
      <c r="AA150" s="125">
        <f t="shared" si="29"/>
      </c>
      <c r="AB150" s="126">
        <f t="shared" si="30"/>
      </c>
      <c r="AC150" s="137">
        <f t="shared" si="31"/>
      </c>
      <c r="AD150" s="125">
        <f t="shared" si="32"/>
      </c>
      <c r="AE150" t="e">
        <f t="shared" si="33"/>
        <v>#VALUE!</v>
      </c>
    </row>
    <row r="151" spans="1:31" ht="13.5" customHeight="1">
      <c r="A151" s="125">
        <f t="shared" si="35"/>
        <v>147</v>
      </c>
      <c r="B151" s="125">
        <f t="shared" si="24"/>
      </c>
      <c r="C151" s="129">
        <f>'ルール＆合計'!$F$3</f>
        <v>0.02</v>
      </c>
      <c r="D151" s="128" t="e">
        <f t="shared" si="25"/>
        <v>#VALUE!</v>
      </c>
      <c r="E151" s="131">
        <v>10000</v>
      </c>
      <c r="F151" s="123" t="s">
        <v>90</v>
      </c>
      <c r="G151" s="123" t="s">
        <v>268</v>
      </c>
      <c r="I151" s="123">
        <v>2014</v>
      </c>
      <c r="P151" s="125">
        <f t="shared" si="26"/>
      </c>
      <c r="Q151" s="138">
        <f t="shared" si="27"/>
      </c>
      <c r="R151" s="125">
        <f t="shared" si="28"/>
      </c>
      <c r="S151">
        <v>1</v>
      </c>
      <c r="T151" s="123" t="s">
        <v>268</v>
      </c>
      <c r="Z151" s="124">
        <f t="shared" si="34"/>
      </c>
      <c r="AA151" s="125">
        <f t="shared" si="29"/>
      </c>
      <c r="AB151" s="126">
        <f t="shared" si="30"/>
      </c>
      <c r="AC151" s="137">
        <f t="shared" si="31"/>
      </c>
      <c r="AD151" s="125">
        <f t="shared" si="32"/>
      </c>
      <c r="AE151" t="e">
        <f t="shared" si="33"/>
        <v>#VALUE!</v>
      </c>
    </row>
    <row r="152" spans="1:31" ht="13.5" customHeight="1">
      <c r="A152" s="125">
        <f t="shared" si="35"/>
        <v>148</v>
      </c>
      <c r="B152" s="125">
        <f t="shared" si="24"/>
      </c>
      <c r="C152" s="129">
        <f>'ルール＆合計'!$F$3</f>
        <v>0.02</v>
      </c>
      <c r="D152" s="128" t="e">
        <f t="shared" si="25"/>
        <v>#VALUE!</v>
      </c>
      <c r="E152" s="131">
        <v>10000</v>
      </c>
      <c r="F152" s="123" t="s">
        <v>90</v>
      </c>
      <c r="G152" s="123" t="s">
        <v>268</v>
      </c>
      <c r="I152" s="123">
        <v>2014</v>
      </c>
      <c r="P152" s="125">
        <f t="shared" si="26"/>
      </c>
      <c r="Q152" s="138">
        <f t="shared" si="27"/>
      </c>
      <c r="R152" s="125">
        <f t="shared" si="28"/>
      </c>
      <c r="S152">
        <v>1</v>
      </c>
      <c r="T152" s="123" t="s">
        <v>268</v>
      </c>
      <c r="Z152" s="124">
        <f t="shared" si="34"/>
      </c>
      <c r="AA152" s="125">
        <f t="shared" si="29"/>
      </c>
      <c r="AB152" s="126">
        <f t="shared" si="30"/>
      </c>
      <c r="AC152" s="137">
        <f t="shared" si="31"/>
      </c>
      <c r="AD152" s="125">
        <f t="shared" si="32"/>
      </c>
      <c r="AE152" t="e">
        <f t="shared" si="33"/>
        <v>#VALUE!</v>
      </c>
    </row>
    <row r="153" spans="1:31" ht="13.5" customHeight="1">
      <c r="A153" s="125">
        <f t="shared" si="35"/>
        <v>149</v>
      </c>
      <c r="B153" s="125">
        <f t="shared" si="24"/>
      </c>
      <c r="C153" s="129">
        <f>'ルール＆合計'!$F$3</f>
        <v>0.02</v>
      </c>
      <c r="D153" s="128" t="e">
        <f t="shared" si="25"/>
        <v>#VALUE!</v>
      </c>
      <c r="E153" s="131">
        <v>10000</v>
      </c>
      <c r="F153" s="123" t="s">
        <v>90</v>
      </c>
      <c r="G153" s="123" t="s">
        <v>268</v>
      </c>
      <c r="I153" s="123">
        <v>2014</v>
      </c>
      <c r="P153" s="125">
        <f t="shared" si="26"/>
      </c>
      <c r="Q153" s="138">
        <f t="shared" si="27"/>
      </c>
      <c r="R153" s="125">
        <f t="shared" si="28"/>
      </c>
      <c r="S153">
        <v>1</v>
      </c>
      <c r="T153" s="123" t="s">
        <v>268</v>
      </c>
      <c r="Z153" s="124">
        <f t="shared" si="34"/>
      </c>
      <c r="AA153" s="125">
        <f t="shared" si="29"/>
      </c>
      <c r="AB153" s="126">
        <f t="shared" si="30"/>
      </c>
      <c r="AC153" s="137">
        <f t="shared" si="31"/>
      </c>
      <c r="AD153" s="125">
        <f t="shared" si="32"/>
      </c>
      <c r="AE153" t="e">
        <f t="shared" si="33"/>
        <v>#VALUE!</v>
      </c>
    </row>
    <row r="154" spans="1:31" ht="13.5" customHeight="1">
      <c r="A154" s="125">
        <f t="shared" si="35"/>
        <v>150</v>
      </c>
      <c r="B154" s="125">
        <f t="shared" si="24"/>
      </c>
      <c r="C154" s="129">
        <f>'ルール＆合計'!$F$3</f>
        <v>0.02</v>
      </c>
      <c r="D154" s="128" t="e">
        <f t="shared" si="25"/>
        <v>#VALUE!</v>
      </c>
      <c r="E154" s="131">
        <v>10000</v>
      </c>
      <c r="F154" s="123" t="s">
        <v>90</v>
      </c>
      <c r="G154" s="123" t="s">
        <v>268</v>
      </c>
      <c r="I154" s="123">
        <v>2014</v>
      </c>
      <c r="P154" s="125">
        <f t="shared" si="26"/>
      </c>
      <c r="Q154" s="138">
        <f t="shared" si="27"/>
      </c>
      <c r="R154" s="125">
        <f t="shared" si="28"/>
      </c>
      <c r="S154">
        <v>1</v>
      </c>
      <c r="T154" s="123" t="s">
        <v>268</v>
      </c>
      <c r="Z154" s="124">
        <f t="shared" si="34"/>
      </c>
      <c r="AA154" s="125">
        <f t="shared" si="29"/>
      </c>
      <c r="AB154" s="126">
        <f t="shared" si="30"/>
      </c>
      <c r="AC154" s="137">
        <f t="shared" si="31"/>
      </c>
      <c r="AD154" s="125">
        <f t="shared" si="32"/>
      </c>
      <c r="AE154" t="e">
        <f t="shared" si="33"/>
        <v>#VALUE!</v>
      </c>
    </row>
    <row r="155" spans="1:31" ht="13.5" customHeight="1">
      <c r="A155" s="125">
        <f t="shared" si="35"/>
        <v>151</v>
      </c>
      <c r="B155" s="125">
        <f t="shared" si="24"/>
      </c>
      <c r="C155" s="129">
        <f>'ルール＆合計'!$F$3</f>
        <v>0.02</v>
      </c>
      <c r="D155" s="128" t="e">
        <f t="shared" si="25"/>
        <v>#VALUE!</v>
      </c>
      <c r="E155" s="131">
        <v>10000</v>
      </c>
      <c r="F155" s="123" t="s">
        <v>90</v>
      </c>
      <c r="G155" s="123" t="s">
        <v>268</v>
      </c>
      <c r="I155" s="123">
        <v>2014</v>
      </c>
      <c r="P155" s="125">
        <f t="shared" si="26"/>
      </c>
      <c r="Q155" s="138">
        <f t="shared" si="27"/>
      </c>
      <c r="R155" s="125">
        <f t="shared" si="28"/>
      </c>
      <c r="S155">
        <v>1</v>
      </c>
      <c r="T155" s="123" t="s">
        <v>268</v>
      </c>
      <c r="Z155" s="124">
        <f t="shared" si="34"/>
      </c>
      <c r="AA155" s="125">
        <f t="shared" si="29"/>
      </c>
      <c r="AB155" s="126">
        <f t="shared" si="30"/>
      </c>
      <c r="AC155" s="137">
        <f t="shared" si="31"/>
      </c>
      <c r="AD155" s="125">
        <f t="shared" si="32"/>
      </c>
      <c r="AE155" t="e">
        <f t="shared" si="33"/>
        <v>#VALUE!</v>
      </c>
    </row>
    <row r="156" spans="1:31" ht="13.5" customHeight="1">
      <c r="A156" s="125">
        <f t="shared" si="35"/>
        <v>152</v>
      </c>
      <c r="B156" s="125">
        <f t="shared" si="24"/>
      </c>
      <c r="C156" s="129">
        <f>'ルール＆合計'!$F$3</f>
        <v>0.02</v>
      </c>
      <c r="D156" s="128" t="e">
        <f t="shared" si="25"/>
        <v>#VALUE!</v>
      </c>
      <c r="E156" s="131">
        <v>10000</v>
      </c>
      <c r="F156" s="123" t="s">
        <v>90</v>
      </c>
      <c r="G156" s="123" t="s">
        <v>268</v>
      </c>
      <c r="I156" s="123">
        <v>2014</v>
      </c>
      <c r="P156" s="125">
        <f t="shared" si="26"/>
      </c>
      <c r="Q156" s="138">
        <f t="shared" si="27"/>
      </c>
      <c r="R156" s="125">
        <f t="shared" si="28"/>
      </c>
      <c r="S156">
        <v>1</v>
      </c>
      <c r="T156" s="123" t="s">
        <v>268</v>
      </c>
      <c r="Z156" s="124">
        <f t="shared" si="34"/>
      </c>
      <c r="AA156" s="125">
        <f t="shared" si="29"/>
      </c>
      <c r="AB156" s="126">
        <f t="shared" si="30"/>
      </c>
      <c r="AC156" s="137">
        <f t="shared" si="31"/>
      </c>
      <c r="AD156" s="125">
        <f t="shared" si="32"/>
      </c>
      <c r="AE156" t="e">
        <f t="shared" si="33"/>
        <v>#VALUE!</v>
      </c>
    </row>
    <row r="157" spans="1:31" ht="13.5" customHeight="1">
      <c r="A157" s="125">
        <f t="shared" si="35"/>
        <v>153</v>
      </c>
      <c r="B157" s="125">
        <f t="shared" si="24"/>
      </c>
      <c r="C157" s="129">
        <f>'ルール＆合計'!$F$3</f>
        <v>0.02</v>
      </c>
      <c r="D157" s="128" t="e">
        <f t="shared" si="25"/>
        <v>#VALUE!</v>
      </c>
      <c r="E157" s="131">
        <v>10000</v>
      </c>
      <c r="F157" s="123" t="s">
        <v>90</v>
      </c>
      <c r="G157" s="123" t="s">
        <v>268</v>
      </c>
      <c r="I157" s="123">
        <v>2014</v>
      </c>
      <c r="P157" s="125">
        <f t="shared" si="26"/>
      </c>
      <c r="Q157" s="138">
        <f t="shared" si="27"/>
      </c>
      <c r="R157" s="125">
        <f t="shared" si="28"/>
      </c>
      <c r="S157">
        <v>1</v>
      </c>
      <c r="T157" s="123" t="s">
        <v>268</v>
      </c>
      <c r="Z157" s="124">
        <f t="shared" si="34"/>
      </c>
      <c r="AA157" s="125">
        <f t="shared" si="29"/>
      </c>
      <c r="AB157" s="126">
        <f t="shared" si="30"/>
      </c>
      <c r="AC157" s="137">
        <f t="shared" si="31"/>
      </c>
      <c r="AD157" s="125">
        <f t="shared" si="32"/>
      </c>
      <c r="AE157" t="e">
        <f t="shared" si="33"/>
        <v>#VALUE!</v>
      </c>
    </row>
    <row r="158" spans="1:31" ht="13.5" customHeight="1">
      <c r="A158" s="125">
        <f t="shared" si="35"/>
        <v>154</v>
      </c>
      <c r="B158" s="125">
        <f t="shared" si="24"/>
      </c>
      <c r="C158" s="129">
        <f>'ルール＆合計'!$F$3</f>
        <v>0.02</v>
      </c>
      <c r="D158" s="128" t="e">
        <f t="shared" si="25"/>
        <v>#VALUE!</v>
      </c>
      <c r="E158" s="131">
        <v>10000</v>
      </c>
      <c r="F158" s="123" t="s">
        <v>90</v>
      </c>
      <c r="G158" s="123" t="s">
        <v>268</v>
      </c>
      <c r="I158" s="123">
        <v>2014</v>
      </c>
      <c r="P158" s="125">
        <f t="shared" si="26"/>
      </c>
      <c r="Q158" s="138">
        <f t="shared" si="27"/>
      </c>
      <c r="R158" s="125">
        <f t="shared" si="28"/>
      </c>
      <c r="S158">
        <v>1</v>
      </c>
      <c r="T158" s="123" t="s">
        <v>268</v>
      </c>
      <c r="Z158" s="124">
        <f t="shared" si="34"/>
      </c>
      <c r="AA158" s="125">
        <f t="shared" si="29"/>
      </c>
      <c r="AB158" s="126">
        <f t="shared" si="30"/>
      </c>
      <c r="AC158" s="137">
        <f t="shared" si="31"/>
      </c>
      <c r="AD158" s="125">
        <f t="shared" si="32"/>
      </c>
      <c r="AE158" t="e">
        <f t="shared" si="33"/>
        <v>#VALUE!</v>
      </c>
    </row>
    <row r="159" spans="1:31" ht="13.5" customHeight="1">
      <c r="A159" s="125">
        <f t="shared" si="35"/>
        <v>155</v>
      </c>
      <c r="B159" s="125">
        <f t="shared" si="24"/>
      </c>
      <c r="C159" s="129">
        <f>'ルール＆合計'!$F$3</f>
        <v>0.02</v>
      </c>
      <c r="D159" s="128" t="e">
        <f t="shared" si="25"/>
        <v>#VALUE!</v>
      </c>
      <c r="E159" s="131">
        <v>10000</v>
      </c>
      <c r="F159" s="123" t="s">
        <v>90</v>
      </c>
      <c r="G159" s="123" t="s">
        <v>268</v>
      </c>
      <c r="I159" s="123">
        <v>2014</v>
      </c>
      <c r="P159" s="125">
        <f t="shared" si="26"/>
      </c>
      <c r="Q159" s="138">
        <f t="shared" si="27"/>
      </c>
      <c r="R159" s="125">
        <f t="shared" si="28"/>
      </c>
      <c r="S159">
        <v>1</v>
      </c>
      <c r="T159" s="123" t="s">
        <v>268</v>
      </c>
      <c r="Z159" s="124">
        <f t="shared" si="34"/>
      </c>
      <c r="AA159" s="125">
        <f t="shared" si="29"/>
      </c>
      <c r="AB159" s="126">
        <f t="shared" si="30"/>
      </c>
      <c r="AC159" s="137">
        <f t="shared" si="31"/>
      </c>
      <c r="AD159" s="125">
        <f t="shared" si="32"/>
      </c>
      <c r="AE159" t="e">
        <f t="shared" si="33"/>
        <v>#VALUE!</v>
      </c>
    </row>
    <row r="160" spans="1:31" ht="13.5" customHeight="1">
      <c r="A160" s="125">
        <f t="shared" si="35"/>
        <v>156</v>
      </c>
      <c r="B160" s="125">
        <f t="shared" si="24"/>
      </c>
      <c r="C160" s="129">
        <f>'ルール＆合計'!$F$3</f>
        <v>0.02</v>
      </c>
      <c r="D160" s="128" t="e">
        <f t="shared" si="25"/>
        <v>#VALUE!</v>
      </c>
      <c r="E160" s="131">
        <v>10000</v>
      </c>
      <c r="F160" s="123" t="s">
        <v>90</v>
      </c>
      <c r="G160" s="123" t="s">
        <v>268</v>
      </c>
      <c r="I160" s="123">
        <v>2014</v>
      </c>
      <c r="P160" s="125">
        <f t="shared" si="26"/>
      </c>
      <c r="Q160" s="138">
        <f t="shared" si="27"/>
      </c>
      <c r="R160" s="125">
        <f t="shared" si="28"/>
      </c>
      <c r="S160">
        <v>1</v>
      </c>
      <c r="T160" s="123" t="s">
        <v>268</v>
      </c>
      <c r="Z160" s="124">
        <f t="shared" si="34"/>
      </c>
      <c r="AA160" s="125">
        <f t="shared" si="29"/>
      </c>
      <c r="AB160" s="126">
        <f t="shared" si="30"/>
      </c>
      <c r="AC160" s="137">
        <f t="shared" si="31"/>
      </c>
      <c r="AD160" s="125">
        <f t="shared" si="32"/>
      </c>
      <c r="AE160" t="e">
        <f t="shared" si="33"/>
        <v>#VALUE!</v>
      </c>
    </row>
    <row r="161" spans="1:31" ht="13.5" customHeight="1">
      <c r="A161" s="125">
        <f t="shared" si="35"/>
        <v>157</v>
      </c>
      <c r="B161" s="125">
        <f t="shared" si="24"/>
      </c>
      <c r="C161" s="129">
        <f>'ルール＆合計'!$F$3</f>
        <v>0.02</v>
      </c>
      <c r="D161" s="128" t="e">
        <f t="shared" si="25"/>
        <v>#VALUE!</v>
      </c>
      <c r="E161" s="131">
        <v>10000</v>
      </c>
      <c r="F161" s="123" t="s">
        <v>90</v>
      </c>
      <c r="G161" s="123" t="s">
        <v>268</v>
      </c>
      <c r="I161" s="123">
        <v>2014</v>
      </c>
      <c r="P161" s="125">
        <f t="shared" si="26"/>
      </c>
      <c r="Q161" s="138">
        <f t="shared" si="27"/>
      </c>
      <c r="R161" s="125">
        <f t="shared" si="28"/>
      </c>
      <c r="S161">
        <v>1</v>
      </c>
      <c r="T161" s="123" t="s">
        <v>268</v>
      </c>
      <c r="Z161" s="124">
        <f t="shared" si="34"/>
      </c>
      <c r="AA161" s="125">
        <f t="shared" si="29"/>
      </c>
      <c r="AB161" s="126">
        <f t="shared" si="30"/>
      </c>
      <c r="AC161" s="137">
        <f t="shared" si="31"/>
      </c>
      <c r="AD161" s="125">
        <f t="shared" si="32"/>
      </c>
      <c r="AE161" t="e">
        <f t="shared" si="33"/>
        <v>#VALUE!</v>
      </c>
    </row>
    <row r="162" spans="1:31" ht="13.5" customHeight="1">
      <c r="A162" s="125">
        <f t="shared" si="35"/>
        <v>158</v>
      </c>
      <c r="B162" s="125">
        <f t="shared" si="24"/>
      </c>
      <c r="C162" s="129">
        <f>'ルール＆合計'!$F$3</f>
        <v>0.02</v>
      </c>
      <c r="D162" s="128" t="e">
        <f t="shared" si="25"/>
        <v>#VALUE!</v>
      </c>
      <c r="E162" s="131">
        <v>10000</v>
      </c>
      <c r="F162" s="123" t="s">
        <v>90</v>
      </c>
      <c r="G162" s="123" t="s">
        <v>268</v>
      </c>
      <c r="I162" s="123">
        <v>2014</v>
      </c>
      <c r="P162" s="125">
        <f t="shared" si="26"/>
      </c>
      <c r="Q162" s="138">
        <f t="shared" si="27"/>
      </c>
      <c r="R162" s="125">
        <f t="shared" si="28"/>
      </c>
      <c r="S162">
        <v>1</v>
      </c>
      <c r="T162" s="123" t="s">
        <v>268</v>
      </c>
      <c r="Z162" s="124">
        <f t="shared" si="34"/>
      </c>
      <c r="AA162" s="125">
        <f t="shared" si="29"/>
      </c>
      <c r="AB162" s="126">
        <f t="shared" si="30"/>
      </c>
      <c r="AC162" s="137">
        <f t="shared" si="31"/>
      </c>
      <c r="AD162" s="125">
        <f t="shared" si="32"/>
      </c>
      <c r="AE162" t="e">
        <f t="shared" si="33"/>
        <v>#VALUE!</v>
      </c>
    </row>
    <row r="163" spans="1:31" ht="13.5" customHeight="1">
      <c r="A163" s="125">
        <f t="shared" si="35"/>
        <v>159</v>
      </c>
      <c r="B163" s="125">
        <f t="shared" si="24"/>
      </c>
      <c r="C163" s="129">
        <f>'ルール＆合計'!$F$3</f>
        <v>0.02</v>
      </c>
      <c r="D163" s="128" t="e">
        <f t="shared" si="25"/>
        <v>#VALUE!</v>
      </c>
      <c r="E163" s="131">
        <v>10000</v>
      </c>
      <c r="F163" s="123" t="s">
        <v>90</v>
      </c>
      <c r="G163" s="123" t="s">
        <v>268</v>
      </c>
      <c r="I163" s="123">
        <v>2014</v>
      </c>
      <c r="P163" s="125">
        <f t="shared" si="26"/>
      </c>
      <c r="Q163" s="138">
        <f t="shared" si="27"/>
      </c>
      <c r="R163" s="125">
        <f t="shared" si="28"/>
      </c>
      <c r="S163">
        <v>1</v>
      </c>
      <c r="T163" s="123" t="s">
        <v>268</v>
      </c>
      <c r="Z163" s="124">
        <f t="shared" si="34"/>
      </c>
      <c r="AA163" s="125">
        <f t="shared" si="29"/>
      </c>
      <c r="AB163" s="126">
        <f t="shared" si="30"/>
      </c>
      <c r="AC163" s="137">
        <f t="shared" si="31"/>
      </c>
      <c r="AD163" s="125">
        <f t="shared" si="32"/>
      </c>
      <c r="AE163" t="e">
        <f t="shared" si="33"/>
        <v>#VALUE!</v>
      </c>
    </row>
    <row r="164" spans="1:31" ht="13.5" customHeight="1">
      <c r="A164" s="125">
        <f t="shared" si="35"/>
        <v>160</v>
      </c>
      <c r="B164" s="125">
        <f t="shared" si="24"/>
      </c>
      <c r="C164" s="129">
        <f>'ルール＆合計'!$F$3</f>
        <v>0.02</v>
      </c>
      <c r="D164" s="128" t="e">
        <f t="shared" si="25"/>
        <v>#VALUE!</v>
      </c>
      <c r="E164" s="131">
        <v>10000</v>
      </c>
      <c r="F164" s="123" t="s">
        <v>90</v>
      </c>
      <c r="G164" s="123" t="s">
        <v>268</v>
      </c>
      <c r="I164" s="123">
        <v>2014</v>
      </c>
      <c r="P164" s="125">
        <f t="shared" si="26"/>
      </c>
      <c r="Q164" s="138">
        <f t="shared" si="27"/>
      </c>
      <c r="R164" s="125">
        <f t="shared" si="28"/>
      </c>
      <c r="S164">
        <v>1</v>
      </c>
      <c r="T164" s="123" t="s">
        <v>268</v>
      </c>
      <c r="Z164" s="124">
        <f t="shared" si="34"/>
      </c>
      <c r="AA164" s="125">
        <f t="shared" si="29"/>
      </c>
      <c r="AB164" s="126">
        <f t="shared" si="30"/>
      </c>
      <c r="AC164" s="137">
        <f t="shared" si="31"/>
      </c>
      <c r="AD164" s="125">
        <f t="shared" si="32"/>
      </c>
      <c r="AE164" t="e">
        <f t="shared" si="33"/>
        <v>#VALUE!</v>
      </c>
    </row>
    <row r="165" spans="1:31" ht="13.5" customHeight="1">
      <c r="A165" s="125">
        <f t="shared" si="35"/>
        <v>161</v>
      </c>
      <c r="B165" s="125">
        <f t="shared" si="24"/>
      </c>
      <c r="C165" s="129">
        <f>'ルール＆合計'!$F$3</f>
        <v>0.02</v>
      </c>
      <c r="D165" s="128" t="e">
        <f t="shared" si="25"/>
        <v>#VALUE!</v>
      </c>
      <c r="E165" s="131">
        <v>10000</v>
      </c>
      <c r="F165" s="123" t="s">
        <v>90</v>
      </c>
      <c r="G165" s="123" t="s">
        <v>268</v>
      </c>
      <c r="I165" s="123">
        <v>2014</v>
      </c>
      <c r="P165" s="125">
        <f t="shared" si="26"/>
      </c>
      <c r="Q165" s="138">
        <f t="shared" si="27"/>
      </c>
      <c r="R165" s="125">
        <f t="shared" si="28"/>
      </c>
      <c r="S165">
        <v>1</v>
      </c>
      <c r="T165" s="123" t="s">
        <v>268</v>
      </c>
      <c r="Z165" s="124">
        <f t="shared" si="34"/>
      </c>
      <c r="AA165" s="125">
        <f t="shared" si="29"/>
      </c>
      <c r="AB165" s="126">
        <f t="shared" si="30"/>
      </c>
      <c r="AC165" s="137">
        <f t="shared" si="31"/>
      </c>
      <c r="AD165" s="125">
        <f t="shared" si="32"/>
      </c>
      <c r="AE165" t="e">
        <f t="shared" si="33"/>
        <v>#VALUE!</v>
      </c>
    </row>
    <row r="166" spans="1:31" ht="13.5" customHeight="1">
      <c r="A166" s="125">
        <f t="shared" si="35"/>
        <v>162</v>
      </c>
      <c r="B166" s="125">
        <f t="shared" si="24"/>
      </c>
      <c r="C166" s="129">
        <f>'ルール＆合計'!$F$3</f>
        <v>0.02</v>
      </c>
      <c r="D166" s="128" t="e">
        <f t="shared" si="25"/>
        <v>#VALUE!</v>
      </c>
      <c r="E166" s="131">
        <v>10000</v>
      </c>
      <c r="F166" s="123" t="s">
        <v>90</v>
      </c>
      <c r="G166" s="123" t="s">
        <v>268</v>
      </c>
      <c r="I166" s="123">
        <v>2014</v>
      </c>
      <c r="P166" s="125">
        <f t="shared" si="26"/>
      </c>
      <c r="Q166" s="138">
        <f t="shared" si="27"/>
      </c>
      <c r="R166" s="125">
        <f t="shared" si="28"/>
      </c>
      <c r="S166">
        <v>1</v>
      </c>
      <c r="T166" s="123" t="s">
        <v>268</v>
      </c>
      <c r="Z166" s="124">
        <f t="shared" si="34"/>
      </c>
      <c r="AA166" s="125">
        <f t="shared" si="29"/>
      </c>
      <c r="AB166" s="126">
        <f t="shared" si="30"/>
      </c>
      <c r="AC166" s="137">
        <f t="shared" si="31"/>
      </c>
      <c r="AD166" s="125">
        <f t="shared" si="32"/>
      </c>
      <c r="AE166" t="e">
        <f t="shared" si="33"/>
        <v>#VALUE!</v>
      </c>
    </row>
    <row r="167" spans="1:31" ht="13.5" customHeight="1">
      <c r="A167" s="125">
        <f t="shared" si="35"/>
        <v>163</v>
      </c>
      <c r="B167" s="125">
        <f t="shared" si="24"/>
      </c>
      <c r="C167" s="129">
        <f>'ルール＆合計'!$F$3</f>
        <v>0.02</v>
      </c>
      <c r="D167" s="128" t="e">
        <f t="shared" si="25"/>
        <v>#VALUE!</v>
      </c>
      <c r="E167" s="131">
        <v>10000</v>
      </c>
      <c r="F167" s="123" t="s">
        <v>90</v>
      </c>
      <c r="G167" s="123" t="s">
        <v>268</v>
      </c>
      <c r="I167" s="123">
        <v>2014</v>
      </c>
      <c r="P167" s="125">
        <f t="shared" si="26"/>
      </c>
      <c r="Q167" s="138">
        <f t="shared" si="27"/>
      </c>
      <c r="R167" s="125">
        <f t="shared" si="28"/>
      </c>
      <c r="S167">
        <v>1</v>
      </c>
      <c r="T167" s="123" t="s">
        <v>268</v>
      </c>
      <c r="Z167" s="124">
        <f t="shared" si="34"/>
      </c>
      <c r="AA167" s="125">
        <f t="shared" si="29"/>
      </c>
      <c r="AB167" s="126">
        <f t="shared" si="30"/>
      </c>
      <c r="AC167" s="137">
        <f t="shared" si="31"/>
      </c>
      <c r="AD167" s="125">
        <f t="shared" si="32"/>
      </c>
      <c r="AE167" t="e">
        <f t="shared" si="33"/>
        <v>#VALUE!</v>
      </c>
    </row>
  </sheetData>
  <sheetProtection/>
  <mergeCells count="3">
    <mergeCell ref="A3:F3"/>
    <mergeCell ref="G3:S3"/>
    <mergeCell ref="T3:Y3"/>
  </mergeCells>
  <printOptions/>
  <pageMargins left="0.6986111111111111" right="0.6986111111111111" top="0.75" bottom="0.75" header="0.3" footer="0.3"/>
  <pageSetup horizontalDpi="1200" verticalDpi="12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Z112"/>
  <sheetViews>
    <sheetView zoomScale="90" zoomScaleNormal="90" zoomScaleSheetLayoutView="100"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A1" sqref="A1:F1"/>
    </sheetView>
  </sheetViews>
  <sheetFormatPr defaultColWidth="10.00390625" defaultRowHeight="13.5" customHeight="1"/>
  <cols>
    <col min="1" max="1" width="3.375" style="0" bestFit="1" customWidth="1"/>
    <col min="2" max="2" width="8.00390625" style="0" bestFit="1" customWidth="1"/>
    <col min="3" max="3" width="7.625" style="0" bestFit="1" customWidth="1"/>
    <col min="4" max="4" width="8.50390625" style="0" bestFit="1" customWidth="1"/>
    <col min="5" max="5" width="5.50390625" style="0" bestFit="1" customWidth="1"/>
    <col min="6" max="6" width="9.50390625" style="0" bestFit="1" customWidth="1"/>
    <col min="7" max="7" width="7.125" style="0" bestFit="1" customWidth="1"/>
    <col min="8" max="8" width="5.25390625" style="0" bestFit="1" customWidth="1"/>
    <col min="9" max="9" width="16.125" style="0" bestFit="1" customWidth="1"/>
    <col min="10" max="10" width="8.50390625" style="0" bestFit="1" customWidth="1"/>
    <col min="11" max="11" width="36.125" style="0" bestFit="1" customWidth="1"/>
    <col min="12" max="12" width="8.50390625" style="0" bestFit="1" customWidth="1"/>
    <col min="13" max="13" width="8.50390625" style="0" customWidth="1"/>
    <col min="14" max="14" width="6.625" style="0" bestFit="1" customWidth="1"/>
    <col min="15" max="15" width="8.375" style="0" bestFit="1" customWidth="1"/>
    <col min="16" max="16" width="7.625" style="0" bestFit="1" customWidth="1"/>
    <col min="17" max="17" width="5.25390625" style="0" bestFit="1" customWidth="1"/>
    <col min="18" max="18" width="7.125" style="0" bestFit="1" customWidth="1"/>
    <col min="19" max="19" width="16.875" style="0" bestFit="1" customWidth="1"/>
    <col min="20" max="20" width="8.50390625" style="0" bestFit="1" customWidth="1"/>
    <col min="21" max="21" width="14.75390625" style="0" bestFit="1" customWidth="1"/>
    <col min="22" max="22" width="5.25390625" style="0" bestFit="1" customWidth="1"/>
    <col min="23" max="23" width="9.50390625" style="0" bestFit="1" customWidth="1"/>
    <col min="24" max="24" width="8.50390625" style="0" bestFit="1" customWidth="1"/>
    <col min="25" max="25" width="8.25390625" style="0" bestFit="1" customWidth="1"/>
    <col min="26" max="26" width="7.50390625" style="0" bestFit="1" customWidth="1"/>
  </cols>
  <sheetData>
    <row r="1" spans="1:21" ht="13.5" customHeight="1" thickBot="1">
      <c r="A1" s="192" t="s">
        <v>78</v>
      </c>
      <c r="B1" s="193"/>
      <c r="C1" s="193"/>
      <c r="D1" s="193"/>
      <c r="E1" s="193"/>
      <c r="F1" s="194"/>
      <c r="G1" s="191" t="s">
        <v>76</v>
      </c>
      <c r="H1" s="191"/>
      <c r="I1" s="191"/>
      <c r="J1" s="191"/>
      <c r="K1" s="191"/>
      <c r="L1" s="191"/>
      <c r="M1" s="191"/>
      <c r="N1" s="191"/>
      <c r="O1" s="191"/>
      <c r="P1" s="191"/>
      <c r="Q1" s="191"/>
      <c r="R1" s="189" t="s">
        <v>71</v>
      </c>
      <c r="S1" s="190"/>
      <c r="T1" s="190"/>
      <c r="U1" s="190"/>
    </row>
    <row r="2" spans="1:26" ht="27.75" thickBot="1">
      <c r="A2" s="118" t="s">
        <v>68</v>
      </c>
      <c r="B2" s="117" t="s">
        <v>67</v>
      </c>
      <c r="C2" s="117" t="s">
        <v>69</v>
      </c>
      <c r="D2" s="117" t="s">
        <v>81</v>
      </c>
      <c r="E2" s="118" t="s">
        <v>70</v>
      </c>
      <c r="F2" s="119" t="s">
        <v>21</v>
      </c>
      <c r="G2" s="122" t="s">
        <v>23</v>
      </c>
      <c r="H2" s="122" t="s">
        <v>22</v>
      </c>
      <c r="I2" s="122" t="s">
        <v>73</v>
      </c>
      <c r="J2" s="122" t="s">
        <v>74</v>
      </c>
      <c r="K2" s="122" t="s">
        <v>77</v>
      </c>
      <c r="L2" s="122" t="s">
        <v>82</v>
      </c>
      <c r="M2" s="130" t="s">
        <v>127</v>
      </c>
      <c r="N2" s="130" t="s">
        <v>83</v>
      </c>
      <c r="O2" s="130" t="s">
        <v>96</v>
      </c>
      <c r="P2" s="130" t="s">
        <v>105</v>
      </c>
      <c r="Q2" s="130" t="s">
        <v>106</v>
      </c>
      <c r="R2" s="120" t="s">
        <v>72</v>
      </c>
      <c r="S2" s="121" t="s">
        <v>73</v>
      </c>
      <c r="T2" s="121" t="s">
        <v>74</v>
      </c>
      <c r="U2" s="121" t="s">
        <v>75</v>
      </c>
      <c r="V2" s="116" t="s">
        <v>24</v>
      </c>
      <c r="W2" s="116" t="s">
        <v>79</v>
      </c>
      <c r="X2" s="36" t="s">
        <v>25</v>
      </c>
      <c r="Y2" s="106" t="s">
        <v>26</v>
      </c>
      <c r="Z2" s="37" t="s">
        <v>27</v>
      </c>
    </row>
    <row r="3" spans="1:26" ht="13.5" customHeight="1">
      <c r="A3" s="125">
        <f>IF($F3&lt;&gt;"",ROW()-2,"")</f>
        <v>1</v>
      </c>
      <c r="B3" s="128">
        <f>'ルール＆合計'!B2:D2</f>
        <v>1000000</v>
      </c>
      <c r="C3" s="129">
        <f>'ルール＆合計'!$F$3</f>
        <v>0.02</v>
      </c>
      <c r="D3" s="128">
        <f>B3*C3</f>
        <v>20000</v>
      </c>
      <c r="E3" s="131">
        <v>1000</v>
      </c>
      <c r="F3" s="123" t="s">
        <v>90</v>
      </c>
      <c r="G3" s="113" t="s">
        <v>63</v>
      </c>
      <c r="H3" s="123" t="s">
        <v>64</v>
      </c>
      <c r="I3" s="114">
        <v>38700</v>
      </c>
      <c r="J3">
        <v>119.642</v>
      </c>
      <c r="K3" s="123" t="s">
        <v>95</v>
      </c>
      <c r="L3" s="113">
        <v>120.443</v>
      </c>
      <c r="M3" s="113"/>
      <c r="N3" s="125">
        <f>IF(L3&lt;&gt;"",ABS(L3-J3)/IF(RIGHT(F3,3)="JPY",0.01,0.0001),"")</f>
        <v>80.1000000000002</v>
      </c>
      <c r="O3" s="138">
        <f>IF(N3&lt;&gt;"",D3/N3,"")</f>
        <v>249.68789013732774</v>
      </c>
      <c r="P3" s="142">
        <f>IF(O3&lt;&gt;"",ROUNDDOWN(D3/N3/IF(RIGHT(F3,3)="JPY",100,M3),2),"")</f>
        <v>2.49</v>
      </c>
      <c r="R3" s="113"/>
      <c r="S3" s="134"/>
      <c r="V3" s="124" t="str">
        <f>IF(H3&lt;&gt;"",IF(H3="買い",IF(W3&gt;0,"勝ち","負け"),IF(H3="売り",IF(W3&gt;0,"負け","勝ち"))),"")</f>
        <v>勝ち</v>
      </c>
      <c r="W3" s="125">
        <f>T3-J3</f>
        <v>-119.642</v>
      </c>
      <c r="X3" s="125">
        <f>IF(V3&lt;&gt;"",IF(V3="勝ち",W3/0.01,0),0)</f>
        <v>-11964.199999999999</v>
      </c>
      <c r="Y3" s="137">
        <f>IF(V3&lt;&gt;"",IF(V3="負け",W3/0.01,0),"")</f>
        <v>0</v>
      </c>
      <c r="Z3" s="125">
        <f>IF(V3&lt;&gt;"",IF(V3="勝ち",IF(W3&gt;0,W3*E3,ABS(W3*E3)),IF(V3="負け",IF(W3&gt;0,(W3*E3)*-1,W3*E3),"")),"")</f>
        <v>119642</v>
      </c>
    </row>
    <row r="4" spans="1:26" ht="13.5">
      <c r="A4" s="125">
        <f>IF($F4&lt;&gt;"",ROW()-2,"")</f>
        <v>2</v>
      </c>
      <c r="B4" s="125">
        <f>IF(V3&lt;&gt;"",B3+ROUND(Z3,0),"")</f>
        <v>1119642</v>
      </c>
      <c r="C4" s="129">
        <f>'ルール＆合計'!$F$3</f>
        <v>0.02</v>
      </c>
      <c r="D4" s="128">
        <f aca="true" t="shared" si="0" ref="D4:D67">B4*C4</f>
        <v>22392.84</v>
      </c>
      <c r="E4">
        <v>1000</v>
      </c>
      <c r="F4" s="123" t="s">
        <v>90</v>
      </c>
      <c r="G4" s="113" t="s">
        <v>63</v>
      </c>
      <c r="H4" t="s">
        <v>80</v>
      </c>
      <c r="I4" s="135">
        <v>38708</v>
      </c>
      <c r="J4">
        <v>117.234</v>
      </c>
      <c r="K4" t="s">
        <v>98</v>
      </c>
      <c r="L4">
        <v>116.753</v>
      </c>
      <c r="N4" s="125">
        <f aca="true" t="shared" si="1" ref="N4:N67">IF(L4&lt;&gt;"",ABS(L4-J4)/0.01,"")</f>
        <v>48.099999999999454</v>
      </c>
      <c r="O4" s="138">
        <f aca="true" t="shared" si="2" ref="O4:O22">IF(N4&lt;&gt;"",B4*C4/N4,"")</f>
        <v>465.5476091476144</v>
      </c>
      <c r="P4" s="125">
        <f aca="true" t="shared" si="3" ref="P4:P67">IF(O4&lt;&gt;"",ROUNDDOWN(B4*C4/N4/J4,2),"")</f>
        <v>3.97</v>
      </c>
      <c r="Q4">
        <v>1</v>
      </c>
      <c r="R4" s="113" t="s">
        <v>65</v>
      </c>
      <c r="S4" s="134">
        <v>38708</v>
      </c>
      <c r="T4">
        <v>116.753</v>
      </c>
      <c r="U4" t="s">
        <v>97</v>
      </c>
      <c r="V4" s="125" t="str">
        <f aca="true" t="shared" si="4" ref="V4:V67">IF(H4&lt;&gt;"",IF(H4="買い",IF(W4&gt;0,"勝ち","負け"),IF(H4="売り",IF(W4&gt;0,"負け","勝ち"))),"")</f>
        <v>負け</v>
      </c>
      <c r="W4" s="125">
        <f>IF(T4&lt;&gt;"",T4-J4,"")</f>
        <v>-0.48099999999999454</v>
      </c>
      <c r="X4" s="126">
        <f>IF(V4&lt;&gt;"",IF(V4="勝ち",W4/0.01,0),"")</f>
        <v>0</v>
      </c>
      <c r="Y4" s="126">
        <f aca="true" t="shared" si="5" ref="Y4:Y67">IF(V4&lt;&gt;"",IF(V4="負け",W4/0.01,0),"")</f>
        <v>-48.099999999999454</v>
      </c>
      <c r="Z4" s="125">
        <f aca="true" t="shared" si="6" ref="Z4:Z67">IF(V4&lt;&gt;"",IF(V4="勝ち",IF(W4&gt;0,W4*E4,ABS(W4*E4)),IF(V4="負け",IF(W4&gt;0,(W4*E4)*-1,W4*E4),"")),"")</f>
        <v>-480.99999999999454</v>
      </c>
    </row>
    <row r="5" spans="1:26" ht="13.5">
      <c r="A5" s="125">
        <f aca="true" t="shared" si="7" ref="A5:A68">IF($F5&lt;&gt;"",ROW()-2,"")</f>
        <v>3</v>
      </c>
      <c r="B5" s="125">
        <f aca="true" t="shared" si="8" ref="B5:B68">IF(V4&lt;&gt;"",B4+ROUND(Z4,0),"")</f>
        <v>1119161</v>
      </c>
      <c r="C5" s="129">
        <f>'ルール＆合計'!$F$3</f>
        <v>0.02</v>
      </c>
      <c r="D5" s="128">
        <f t="shared" si="0"/>
        <v>22383.22</v>
      </c>
      <c r="E5">
        <v>1000</v>
      </c>
      <c r="F5" s="123" t="s">
        <v>90</v>
      </c>
      <c r="G5" s="113" t="s">
        <v>63</v>
      </c>
      <c r="H5" t="s">
        <v>80</v>
      </c>
      <c r="I5" s="135">
        <v>38713</v>
      </c>
      <c r="J5">
        <v>116.587</v>
      </c>
      <c r="K5" t="s">
        <v>94</v>
      </c>
      <c r="L5">
        <v>115.905</v>
      </c>
      <c r="N5" s="125">
        <f t="shared" si="1"/>
        <v>68.20000000000022</v>
      </c>
      <c r="O5" s="138">
        <f t="shared" si="2"/>
        <v>328.199706744867</v>
      </c>
      <c r="P5" s="125">
        <f t="shared" si="3"/>
        <v>2.81</v>
      </c>
      <c r="Q5">
        <v>1</v>
      </c>
      <c r="R5" s="113" t="s">
        <v>65</v>
      </c>
      <c r="S5" s="135">
        <v>38714</v>
      </c>
      <c r="T5">
        <v>117.653</v>
      </c>
      <c r="U5" t="s">
        <v>99</v>
      </c>
      <c r="V5" s="125" t="str">
        <f t="shared" si="4"/>
        <v>勝ち</v>
      </c>
      <c r="W5" s="125">
        <f aca="true" t="shared" si="9" ref="W5:W68">IF(T5&lt;&gt;"",T5-J5,"")</f>
        <v>1.0660000000000025</v>
      </c>
      <c r="X5" s="126">
        <f aca="true" t="shared" si="10" ref="X5:X68">IF(V5&lt;&gt;"",IF(V5="勝ち",W5/0.01,0),"")</f>
        <v>106.60000000000025</v>
      </c>
      <c r="Y5" s="126">
        <f t="shared" si="5"/>
        <v>0</v>
      </c>
      <c r="Z5" s="125">
        <f t="shared" si="6"/>
        <v>1066.0000000000025</v>
      </c>
    </row>
    <row r="6" spans="1:26" ht="13.5">
      <c r="A6" s="125">
        <f t="shared" si="7"/>
        <v>4</v>
      </c>
      <c r="B6" s="125">
        <f t="shared" si="8"/>
        <v>1120227</v>
      </c>
      <c r="C6" s="129">
        <f>'ルール＆合計'!$F$3</f>
        <v>0.02</v>
      </c>
      <c r="D6" s="128">
        <f t="shared" si="0"/>
        <v>22404.54</v>
      </c>
      <c r="E6">
        <v>1000</v>
      </c>
      <c r="F6" s="123" t="s">
        <v>90</v>
      </c>
      <c r="G6" s="113" t="s">
        <v>63</v>
      </c>
      <c r="H6" t="s">
        <v>64</v>
      </c>
      <c r="I6" s="135">
        <v>38811</v>
      </c>
      <c r="J6">
        <v>117.524</v>
      </c>
      <c r="K6" t="s">
        <v>95</v>
      </c>
      <c r="L6">
        <v>118.793</v>
      </c>
      <c r="N6" s="125">
        <f t="shared" si="1"/>
        <v>126.90000000000055</v>
      </c>
      <c r="O6" s="138">
        <f t="shared" si="2"/>
        <v>176.55271867612217</v>
      </c>
      <c r="P6" s="125">
        <f t="shared" si="3"/>
        <v>1.5</v>
      </c>
      <c r="Q6">
        <v>0</v>
      </c>
      <c r="R6" s="113" t="s">
        <v>65</v>
      </c>
      <c r="S6" s="135">
        <v>38818</v>
      </c>
      <c r="T6">
        <v>118.793</v>
      </c>
      <c r="U6" t="s">
        <v>97</v>
      </c>
      <c r="V6" s="125" t="str">
        <f t="shared" si="4"/>
        <v>負け</v>
      </c>
      <c r="W6" s="125">
        <f t="shared" si="9"/>
        <v>1.2690000000000055</v>
      </c>
      <c r="X6" s="126">
        <f t="shared" si="10"/>
        <v>0</v>
      </c>
      <c r="Y6" s="126">
        <f t="shared" si="5"/>
        <v>126.90000000000055</v>
      </c>
      <c r="Z6" s="125">
        <f t="shared" si="6"/>
        <v>-1269.0000000000055</v>
      </c>
    </row>
    <row r="7" spans="1:26" ht="13.5">
      <c r="A7" s="125">
        <f t="shared" si="7"/>
        <v>5</v>
      </c>
      <c r="B7" s="125">
        <f t="shared" si="8"/>
        <v>1118958</v>
      </c>
      <c r="C7" s="129">
        <f>'ルール＆合計'!$F$3</f>
        <v>0.02</v>
      </c>
      <c r="D7" s="128">
        <f t="shared" si="0"/>
        <v>22379.16</v>
      </c>
      <c r="E7">
        <v>1000</v>
      </c>
      <c r="F7" s="123" t="s">
        <v>90</v>
      </c>
      <c r="G7" s="113" t="s">
        <v>63</v>
      </c>
      <c r="H7" t="s">
        <v>64</v>
      </c>
      <c r="I7" s="135">
        <v>38841</v>
      </c>
      <c r="J7">
        <v>113.253</v>
      </c>
      <c r="K7" t="s">
        <v>95</v>
      </c>
      <c r="L7">
        <v>114.161</v>
      </c>
      <c r="N7" s="125">
        <f t="shared" si="1"/>
        <v>90.80000000000013</v>
      </c>
      <c r="O7" s="138">
        <f t="shared" si="2"/>
        <v>246.46651982378822</v>
      </c>
      <c r="P7" s="125">
        <f t="shared" si="3"/>
        <v>2.17</v>
      </c>
      <c r="Q7">
        <v>1</v>
      </c>
      <c r="R7" s="113" t="s">
        <v>65</v>
      </c>
      <c r="S7" s="135">
        <v>38854</v>
      </c>
      <c r="T7">
        <v>108.983</v>
      </c>
      <c r="U7" t="s">
        <v>99</v>
      </c>
      <c r="V7" s="125" t="str">
        <f t="shared" si="4"/>
        <v>勝ち</v>
      </c>
      <c r="W7" s="125">
        <f t="shared" si="9"/>
        <v>-4.269999999999996</v>
      </c>
      <c r="X7" s="126">
        <f t="shared" si="10"/>
        <v>-426.9999999999996</v>
      </c>
      <c r="Y7" s="126">
        <f t="shared" si="5"/>
        <v>0</v>
      </c>
      <c r="Z7" s="125">
        <f t="shared" si="6"/>
        <v>4269.999999999996</v>
      </c>
    </row>
    <row r="8" spans="1:26" ht="13.5">
      <c r="A8" s="125">
        <f t="shared" si="7"/>
        <v>6</v>
      </c>
      <c r="B8" s="125">
        <f t="shared" si="8"/>
        <v>1123228</v>
      </c>
      <c r="C8" s="129">
        <f>'ルール＆合計'!$F$3</f>
        <v>0.02</v>
      </c>
      <c r="D8" s="128">
        <f t="shared" si="0"/>
        <v>22464.56</v>
      </c>
      <c r="E8">
        <v>1000</v>
      </c>
      <c r="F8" s="123" t="s">
        <v>90</v>
      </c>
      <c r="G8" s="113" t="s">
        <v>63</v>
      </c>
      <c r="H8" t="s">
        <v>80</v>
      </c>
      <c r="I8" s="135">
        <v>38855</v>
      </c>
      <c r="J8">
        <v>111.253</v>
      </c>
      <c r="K8" t="s">
        <v>94</v>
      </c>
      <c r="L8">
        <v>110.323</v>
      </c>
      <c r="N8" s="125">
        <f t="shared" si="1"/>
        <v>93.00000000000068</v>
      </c>
      <c r="O8" s="138">
        <f t="shared" si="2"/>
        <v>241.55440860214878</v>
      </c>
      <c r="P8" s="125">
        <f t="shared" si="3"/>
        <v>2.17</v>
      </c>
      <c r="Q8">
        <v>1</v>
      </c>
      <c r="R8" s="113" t="s">
        <v>65</v>
      </c>
      <c r="S8" s="135">
        <v>38876</v>
      </c>
      <c r="T8">
        <v>114.158</v>
      </c>
      <c r="U8" t="s">
        <v>99</v>
      </c>
      <c r="V8" s="125" t="str">
        <f t="shared" si="4"/>
        <v>勝ち</v>
      </c>
      <c r="W8" s="125">
        <f t="shared" si="9"/>
        <v>2.905000000000001</v>
      </c>
      <c r="X8" s="126">
        <f t="shared" si="10"/>
        <v>290.5000000000001</v>
      </c>
      <c r="Y8" s="126">
        <f t="shared" si="5"/>
        <v>0</v>
      </c>
      <c r="Z8" s="125">
        <f t="shared" si="6"/>
        <v>2905.000000000001</v>
      </c>
    </row>
    <row r="9" spans="1:26" ht="13.5">
      <c r="A9" s="125">
        <f t="shared" si="7"/>
        <v>7</v>
      </c>
      <c r="B9" s="125">
        <f t="shared" si="8"/>
        <v>1126133</v>
      </c>
      <c r="C9" s="129">
        <f>'ルール＆合計'!$F$3</f>
        <v>0.02</v>
      </c>
      <c r="D9" s="128">
        <f t="shared" si="0"/>
        <v>22522.66</v>
      </c>
      <c r="E9">
        <v>1000</v>
      </c>
      <c r="F9" s="123" t="s">
        <v>90</v>
      </c>
      <c r="G9" s="113" t="s">
        <v>63</v>
      </c>
      <c r="H9" t="s">
        <v>80</v>
      </c>
      <c r="I9" s="135">
        <v>38890</v>
      </c>
      <c r="J9">
        <v>115.217</v>
      </c>
      <c r="K9" t="s">
        <v>94</v>
      </c>
      <c r="L9">
        <v>114.893</v>
      </c>
      <c r="N9" s="125">
        <f t="shared" si="1"/>
        <v>32.39999999999981</v>
      </c>
      <c r="O9" s="138">
        <f t="shared" si="2"/>
        <v>695.143827160498</v>
      </c>
      <c r="P9" s="125">
        <f t="shared" si="3"/>
        <v>6.03</v>
      </c>
      <c r="Q9">
        <v>3</v>
      </c>
      <c r="R9" s="113" t="s">
        <v>65</v>
      </c>
      <c r="S9" s="135">
        <v>38890</v>
      </c>
      <c r="T9">
        <v>115.753</v>
      </c>
      <c r="U9" t="s">
        <v>99</v>
      </c>
      <c r="V9" s="125" t="str">
        <f t="shared" si="4"/>
        <v>勝ち</v>
      </c>
      <c r="W9" s="125">
        <f t="shared" si="9"/>
        <v>0.5360000000000014</v>
      </c>
      <c r="X9" s="126">
        <f t="shared" si="10"/>
        <v>53.600000000000136</v>
      </c>
      <c r="Y9" s="126">
        <f t="shared" si="5"/>
        <v>0</v>
      </c>
      <c r="Z9" s="125">
        <f t="shared" si="6"/>
        <v>536.0000000000014</v>
      </c>
    </row>
    <row r="10" spans="1:26" ht="13.5">
      <c r="A10" s="125">
        <f t="shared" si="7"/>
        <v>8</v>
      </c>
      <c r="B10" s="125">
        <f t="shared" si="8"/>
        <v>1126669</v>
      </c>
      <c r="C10" s="129">
        <f>'ルール＆合計'!$F$3</f>
        <v>0.02</v>
      </c>
      <c r="D10" s="128">
        <f t="shared" si="0"/>
        <v>22533.38</v>
      </c>
      <c r="E10">
        <v>1000</v>
      </c>
      <c r="F10" s="123" t="s">
        <v>90</v>
      </c>
      <c r="G10" s="113" t="s">
        <v>63</v>
      </c>
      <c r="H10" t="s">
        <v>80</v>
      </c>
      <c r="I10" s="135">
        <v>38937</v>
      </c>
      <c r="J10">
        <v>115.384</v>
      </c>
      <c r="K10" t="s">
        <v>94</v>
      </c>
      <c r="L10">
        <v>114.56</v>
      </c>
      <c r="N10" s="125">
        <f t="shared" si="1"/>
        <v>82.3999999999998</v>
      </c>
      <c r="O10" s="138">
        <f t="shared" si="2"/>
        <v>273.4633495145638</v>
      </c>
      <c r="P10" s="125">
        <f t="shared" si="3"/>
        <v>2.37</v>
      </c>
      <c r="Q10">
        <v>1</v>
      </c>
      <c r="R10" s="113" t="s">
        <v>65</v>
      </c>
      <c r="S10" s="135">
        <v>38954</v>
      </c>
      <c r="T10">
        <v>117.381</v>
      </c>
      <c r="U10" t="s">
        <v>101</v>
      </c>
      <c r="V10" s="125" t="str">
        <f t="shared" si="4"/>
        <v>勝ち</v>
      </c>
      <c r="W10" s="125">
        <f t="shared" si="9"/>
        <v>1.9969999999999999</v>
      </c>
      <c r="X10" s="126">
        <f t="shared" si="10"/>
        <v>199.7</v>
      </c>
      <c r="Y10" s="126">
        <f t="shared" si="5"/>
        <v>0</v>
      </c>
      <c r="Z10" s="125">
        <f t="shared" si="6"/>
        <v>1997</v>
      </c>
    </row>
    <row r="11" spans="1:26" ht="13.5">
      <c r="A11" s="125">
        <f t="shared" si="7"/>
        <v>9</v>
      </c>
      <c r="B11" s="125">
        <f t="shared" si="8"/>
        <v>1128666</v>
      </c>
      <c r="C11" s="129">
        <f>'ルール＆合計'!$F$3</f>
        <v>0.02</v>
      </c>
      <c r="D11" s="128">
        <f t="shared" si="0"/>
        <v>22573.32</v>
      </c>
      <c r="E11">
        <v>1000</v>
      </c>
      <c r="F11" s="123" t="s">
        <v>90</v>
      </c>
      <c r="G11" s="113" t="s">
        <v>63</v>
      </c>
      <c r="H11" t="s">
        <v>80</v>
      </c>
      <c r="I11" s="135">
        <v>38965</v>
      </c>
      <c r="J11">
        <v>116.179</v>
      </c>
      <c r="K11" t="s">
        <v>94</v>
      </c>
      <c r="L11">
        <v>115.562</v>
      </c>
      <c r="N11" s="125">
        <f t="shared" si="1"/>
        <v>61.70000000000044</v>
      </c>
      <c r="O11" s="138">
        <f t="shared" si="2"/>
        <v>365.85607779578345</v>
      </c>
      <c r="P11" s="125">
        <f t="shared" si="3"/>
        <v>3.14</v>
      </c>
      <c r="Q11">
        <v>1</v>
      </c>
      <c r="R11" s="113" t="s">
        <v>65</v>
      </c>
      <c r="S11" s="135">
        <v>38971</v>
      </c>
      <c r="T11">
        <v>117.478</v>
      </c>
      <c r="U11" t="s">
        <v>99</v>
      </c>
      <c r="V11" s="125" t="str">
        <f t="shared" si="4"/>
        <v>勝ち</v>
      </c>
      <c r="W11" s="125">
        <f t="shared" si="9"/>
        <v>1.2989999999999924</v>
      </c>
      <c r="X11" s="126">
        <f t="shared" si="10"/>
        <v>129.89999999999924</v>
      </c>
      <c r="Y11" s="126">
        <f t="shared" si="5"/>
        <v>0</v>
      </c>
      <c r="Z11" s="125">
        <f t="shared" si="6"/>
        <v>1298.9999999999923</v>
      </c>
    </row>
    <row r="12" spans="1:26" ht="13.5">
      <c r="A12" s="125">
        <f t="shared" si="7"/>
        <v>10</v>
      </c>
      <c r="B12" s="125">
        <f t="shared" si="8"/>
        <v>1129965</v>
      </c>
      <c r="C12" s="129">
        <f>'ルール＆合計'!$F$3</f>
        <v>0.02</v>
      </c>
      <c r="D12" s="128">
        <f t="shared" si="0"/>
        <v>22599.3</v>
      </c>
      <c r="E12">
        <v>1000</v>
      </c>
      <c r="F12" s="123" t="s">
        <v>90</v>
      </c>
      <c r="G12" s="113" t="s">
        <v>63</v>
      </c>
      <c r="H12" t="s">
        <v>64</v>
      </c>
      <c r="I12" s="135">
        <v>39030</v>
      </c>
      <c r="J12">
        <v>117.705</v>
      </c>
      <c r="K12" t="s">
        <v>102</v>
      </c>
      <c r="L12">
        <v>118.587</v>
      </c>
      <c r="N12" s="125">
        <f t="shared" si="1"/>
        <v>88.2000000000005</v>
      </c>
      <c r="O12" s="138">
        <f t="shared" si="2"/>
        <v>256.2278911564611</v>
      </c>
      <c r="P12" s="125">
        <f t="shared" si="3"/>
        <v>2.17</v>
      </c>
      <c r="Q12">
        <v>1</v>
      </c>
      <c r="R12" s="113" t="s">
        <v>65</v>
      </c>
      <c r="S12" s="135">
        <v>39043</v>
      </c>
      <c r="T12">
        <v>116.564</v>
      </c>
      <c r="U12" t="s">
        <v>99</v>
      </c>
      <c r="V12" s="125" t="str">
        <f t="shared" si="4"/>
        <v>勝ち</v>
      </c>
      <c r="W12" s="125">
        <f t="shared" si="9"/>
        <v>-1.1410000000000053</v>
      </c>
      <c r="X12" s="126">
        <f t="shared" si="10"/>
        <v>-114.10000000000053</v>
      </c>
      <c r="Y12" s="126">
        <f t="shared" si="5"/>
        <v>0</v>
      </c>
      <c r="Z12" s="125">
        <f t="shared" si="6"/>
        <v>1141.0000000000055</v>
      </c>
    </row>
    <row r="13" spans="1:26" ht="13.5">
      <c r="A13" s="125">
        <f t="shared" si="7"/>
        <v>11</v>
      </c>
      <c r="B13" s="125">
        <f t="shared" si="8"/>
        <v>1131106</v>
      </c>
      <c r="C13" s="129">
        <f>'ルール＆合計'!$F$3</f>
        <v>0.02</v>
      </c>
      <c r="D13" s="128">
        <f t="shared" si="0"/>
        <v>22622.12</v>
      </c>
      <c r="E13">
        <v>1000</v>
      </c>
      <c r="F13" s="123" t="s">
        <v>90</v>
      </c>
      <c r="G13" s="113" t="s">
        <v>63</v>
      </c>
      <c r="H13" t="s">
        <v>64</v>
      </c>
      <c r="I13" s="135">
        <v>39055</v>
      </c>
      <c r="J13">
        <v>115.069</v>
      </c>
      <c r="K13" t="s">
        <v>102</v>
      </c>
      <c r="L13">
        <v>115.821</v>
      </c>
      <c r="N13" s="125">
        <f t="shared" si="1"/>
        <v>75.19999999999953</v>
      </c>
      <c r="O13" s="138">
        <f t="shared" si="2"/>
        <v>300.82606382978906</v>
      </c>
      <c r="P13" s="125">
        <f t="shared" si="3"/>
        <v>2.61</v>
      </c>
      <c r="Q13">
        <v>1</v>
      </c>
      <c r="R13" s="113" t="s">
        <v>65</v>
      </c>
      <c r="S13" s="135">
        <v>39059</v>
      </c>
      <c r="T13">
        <v>115.821</v>
      </c>
      <c r="U13" t="s">
        <v>97</v>
      </c>
      <c r="V13" s="125" t="str">
        <f t="shared" si="4"/>
        <v>負け</v>
      </c>
      <c r="W13" s="125">
        <f t="shared" si="9"/>
        <v>0.7519999999999953</v>
      </c>
      <c r="X13" s="126">
        <f t="shared" si="10"/>
        <v>0</v>
      </c>
      <c r="Y13" s="126">
        <f t="shared" si="5"/>
        <v>75.19999999999953</v>
      </c>
      <c r="Z13" s="125">
        <f t="shared" si="6"/>
        <v>-751.9999999999953</v>
      </c>
    </row>
    <row r="14" spans="1:26" ht="13.5">
      <c r="A14" s="125">
        <f t="shared" si="7"/>
        <v>12</v>
      </c>
      <c r="B14" s="125">
        <f t="shared" si="8"/>
        <v>1130354</v>
      </c>
      <c r="C14" s="129">
        <f>'ルール＆合計'!$F$3</f>
        <v>0.02</v>
      </c>
      <c r="D14" s="128">
        <f t="shared" si="0"/>
        <v>22607.08</v>
      </c>
      <c r="E14">
        <v>1000</v>
      </c>
      <c r="F14" s="123" t="s">
        <v>90</v>
      </c>
      <c r="G14" s="113" t="s">
        <v>63</v>
      </c>
      <c r="N14" s="125">
        <f t="shared" si="1"/>
      </c>
      <c r="O14" s="138">
        <f t="shared" si="2"/>
      </c>
      <c r="P14" s="125">
        <f t="shared" si="3"/>
      </c>
      <c r="R14" s="113" t="s">
        <v>65</v>
      </c>
      <c r="V14" s="125">
        <f t="shared" si="4"/>
      </c>
      <c r="W14" s="125">
        <f t="shared" si="9"/>
      </c>
      <c r="X14" s="126">
        <f t="shared" si="10"/>
      </c>
      <c r="Y14" s="126">
        <f t="shared" si="5"/>
      </c>
      <c r="Z14" s="125">
        <f t="shared" si="6"/>
      </c>
    </row>
    <row r="15" spans="1:26" ht="13.5">
      <c r="A15" s="125">
        <f t="shared" si="7"/>
        <v>13</v>
      </c>
      <c r="B15" s="125">
        <f t="shared" si="8"/>
      </c>
      <c r="C15" s="129">
        <f>'ルール＆合計'!$F$3</f>
        <v>0.02</v>
      </c>
      <c r="D15" s="128" t="e">
        <f t="shared" si="0"/>
        <v>#VALUE!</v>
      </c>
      <c r="E15">
        <v>1000</v>
      </c>
      <c r="F15" s="123" t="s">
        <v>90</v>
      </c>
      <c r="G15" s="113" t="s">
        <v>63</v>
      </c>
      <c r="N15" s="125">
        <f t="shared" si="1"/>
      </c>
      <c r="O15" s="138">
        <f t="shared" si="2"/>
      </c>
      <c r="P15" s="125">
        <f t="shared" si="3"/>
      </c>
      <c r="R15" s="113" t="s">
        <v>65</v>
      </c>
      <c r="V15" s="125">
        <f t="shared" si="4"/>
      </c>
      <c r="W15" s="125">
        <f t="shared" si="9"/>
      </c>
      <c r="X15" s="126">
        <f t="shared" si="10"/>
      </c>
      <c r="Y15" s="126">
        <f t="shared" si="5"/>
      </c>
      <c r="Z15" s="125">
        <f t="shared" si="6"/>
      </c>
    </row>
    <row r="16" spans="1:26" ht="13.5">
      <c r="A16" s="125">
        <f t="shared" si="7"/>
        <v>14</v>
      </c>
      <c r="B16" s="125">
        <f t="shared" si="8"/>
      </c>
      <c r="C16" s="129">
        <f>'ルール＆合計'!$F$3</f>
        <v>0.02</v>
      </c>
      <c r="D16" s="128" t="e">
        <f t="shared" si="0"/>
        <v>#VALUE!</v>
      </c>
      <c r="E16">
        <v>1000</v>
      </c>
      <c r="F16" s="123" t="s">
        <v>90</v>
      </c>
      <c r="G16" s="113" t="s">
        <v>63</v>
      </c>
      <c r="N16" s="125">
        <f t="shared" si="1"/>
      </c>
      <c r="O16" s="138">
        <f t="shared" si="2"/>
      </c>
      <c r="P16" s="125">
        <f t="shared" si="3"/>
      </c>
      <c r="R16" s="113" t="s">
        <v>65</v>
      </c>
      <c r="V16" s="125">
        <f t="shared" si="4"/>
      </c>
      <c r="W16" s="125">
        <f t="shared" si="9"/>
      </c>
      <c r="X16" s="126">
        <f t="shared" si="10"/>
      </c>
      <c r="Y16" s="126">
        <f t="shared" si="5"/>
      </c>
      <c r="Z16" s="125">
        <f t="shared" si="6"/>
      </c>
    </row>
    <row r="17" spans="1:26" ht="13.5">
      <c r="A17" s="125">
        <f t="shared" si="7"/>
        <v>15</v>
      </c>
      <c r="B17" s="125">
        <f t="shared" si="8"/>
      </c>
      <c r="C17" s="129">
        <f>'ルール＆合計'!$F$3</f>
        <v>0.02</v>
      </c>
      <c r="D17" s="128" t="e">
        <f t="shared" si="0"/>
        <v>#VALUE!</v>
      </c>
      <c r="E17">
        <v>1000</v>
      </c>
      <c r="F17" s="123" t="s">
        <v>90</v>
      </c>
      <c r="G17" s="113" t="s">
        <v>63</v>
      </c>
      <c r="N17" s="125">
        <f t="shared" si="1"/>
      </c>
      <c r="O17" s="138">
        <f t="shared" si="2"/>
      </c>
      <c r="P17" s="125">
        <f t="shared" si="3"/>
      </c>
      <c r="R17" s="113" t="s">
        <v>65</v>
      </c>
      <c r="V17" s="125">
        <f t="shared" si="4"/>
      </c>
      <c r="W17" s="125">
        <f t="shared" si="9"/>
      </c>
      <c r="X17" s="126">
        <f t="shared" si="10"/>
      </c>
      <c r="Y17" s="126">
        <f t="shared" si="5"/>
      </c>
      <c r="Z17" s="125">
        <f t="shared" si="6"/>
      </c>
    </row>
    <row r="18" spans="1:26" ht="13.5">
      <c r="A18" s="125">
        <f t="shared" si="7"/>
        <v>16</v>
      </c>
      <c r="B18" s="125">
        <f t="shared" si="8"/>
      </c>
      <c r="C18" s="129">
        <f>'ルール＆合計'!$F$3</f>
        <v>0.02</v>
      </c>
      <c r="D18" s="128" t="e">
        <f t="shared" si="0"/>
        <v>#VALUE!</v>
      </c>
      <c r="E18">
        <v>1000</v>
      </c>
      <c r="F18" s="123" t="s">
        <v>90</v>
      </c>
      <c r="G18" s="113" t="s">
        <v>63</v>
      </c>
      <c r="N18" s="125">
        <f t="shared" si="1"/>
      </c>
      <c r="O18" s="138">
        <f t="shared" si="2"/>
      </c>
      <c r="P18" s="125">
        <f t="shared" si="3"/>
      </c>
      <c r="R18" s="113" t="s">
        <v>65</v>
      </c>
      <c r="V18" s="125">
        <f t="shared" si="4"/>
      </c>
      <c r="W18" s="125">
        <f t="shared" si="9"/>
      </c>
      <c r="X18" s="126">
        <f t="shared" si="10"/>
      </c>
      <c r="Y18" s="126">
        <f t="shared" si="5"/>
      </c>
      <c r="Z18" s="125">
        <f t="shared" si="6"/>
      </c>
    </row>
    <row r="19" spans="1:26" ht="13.5">
      <c r="A19" s="125">
        <f t="shared" si="7"/>
        <v>17</v>
      </c>
      <c r="B19" s="125">
        <f t="shared" si="8"/>
      </c>
      <c r="C19" s="129">
        <f>'ルール＆合計'!$F$3</f>
        <v>0.02</v>
      </c>
      <c r="D19" s="128" t="e">
        <f t="shared" si="0"/>
        <v>#VALUE!</v>
      </c>
      <c r="E19">
        <v>1000</v>
      </c>
      <c r="F19" s="123" t="s">
        <v>90</v>
      </c>
      <c r="G19" s="113" t="s">
        <v>63</v>
      </c>
      <c r="N19" s="125">
        <f t="shared" si="1"/>
      </c>
      <c r="O19" s="138">
        <f t="shared" si="2"/>
      </c>
      <c r="P19" s="125">
        <f t="shared" si="3"/>
      </c>
      <c r="R19" s="113" t="s">
        <v>65</v>
      </c>
      <c r="V19" s="125">
        <f t="shared" si="4"/>
      </c>
      <c r="W19" s="125">
        <f t="shared" si="9"/>
      </c>
      <c r="X19" s="126">
        <f t="shared" si="10"/>
      </c>
      <c r="Y19" s="126">
        <f t="shared" si="5"/>
      </c>
      <c r="Z19" s="125">
        <f t="shared" si="6"/>
      </c>
    </row>
    <row r="20" spans="1:26" ht="13.5">
      <c r="A20" s="125">
        <f t="shared" si="7"/>
        <v>18</v>
      </c>
      <c r="B20" s="125">
        <f t="shared" si="8"/>
      </c>
      <c r="C20" s="129">
        <f>'ルール＆合計'!$F$3</f>
        <v>0.02</v>
      </c>
      <c r="D20" s="128" t="e">
        <f t="shared" si="0"/>
        <v>#VALUE!</v>
      </c>
      <c r="E20">
        <v>1000</v>
      </c>
      <c r="F20" s="123" t="s">
        <v>90</v>
      </c>
      <c r="G20" s="113" t="s">
        <v>63</v>
      </c>
      <c r="N20" s="125">
        <f t="shared" si="1"/>
      </c>
      <c r="O20" s="138">
        <f t="shared" si="2"/>
      </c>
      <c r="P20" s="125">
        <f t="shared" si="3"/>
      </c>
      <c r="R20" s="113" t="s">
        <v>65</v>
      </c>
      <c r="V20" s="125">
        <f t="shared" si="4"/>
      </c>
      <c r="W20" s="125">
        <f t="shared" si="9"/>
      </c>
      <c r="X20" s="126">
        <f t="shared" si="10"/>
      </c>
      <c r="Y20" s="126">
        <f t="shared" si="5"/>
      </c>
      <c r="Z20" s="125">
        <f t="shared" si="6"/>
      </c>
    </row>
    <row r="21" spans="1:26" ht="13.5">
      <c r="A21" s="125">
        <f t="shared" si="7"/>
        <v>19</v>
      </c>
      <c r="B21" s="125">
        <f t="shared" si="8"/>
      </c>
      <c r="C21" s="129">
        <f>'ルール＆合計'!$F$3</f>
        <v>0.02</v>
      </c>
      <c r="D21" s="128" t="e">
        <f t="shared" si="0"/>
        <v>#VALUE!</v>
      </c>
      <c r="E21">
        <v>1000</v>
      </c>
      <c r="F21" s="123" t="s">
        <v>90</v>
      </c>
      <c r="G21" s="113" t="s">
        <v>63</v>
      </c>
      <c r="N21" s="125">
        <f t="shared" si="1"/>
      </c>
      <c r="O21" s="138">
        <f t="shared" si="2"/>
      </c>
      <c r="P21" s="125">
        <f t="shared" si="3"/>
      </c>
      <c r="R21" s="113" t="s">
        <v>65</v>
      </c>
      <c r="V21" s="125">
        <f t="shared" si="4"/>
      </c>
      <c r="W21" s="125">
        <f t="shared" si="9"/>
      </c>
      <c r="X21" s="126">
        <f t="shared" si="10"/>
      </c>
      <c r="Y21" s="126">
        <f t="shared" si="5"/>
      </c>
      <c r="Z21" s="125">
        <f t="shared" si="6"/>
      </c>
    </row>
    <row r="22" spans="1:26" ht="13.5">
      <c r="A22" s="125">
        <f t="shared" si="7"/>
        <v>20</v>
      </c>
      <c r="B22" s="125">
        <f t="shared" si="8"/>
      </c>
      <c r="C22" s="129">
        <f>'ルール＆合計'!$F$3</f>
        <v>0.02</v>
      </c>
      <c r="D22" s="128" t="e">
        <f t="shared" si="0"/>
        <v>#VALUE!</v>
      </c>
      <c r="E22">
        <v>1000</v>
      </c>
      <c r="F22" s="123" t="s">
        <v>90</v>
      </c>
      <c r="G22" s="113" t="s">
        <v>63</v>
      </c>
      <c r="N22" s="125">
        <f t="shared" si="1"/>
      </c>
      <c r="O22" s="138">
        <f t="shared" si="2"/>
      </c>
      <c r="P22" s="125">
        <f t="shared" si="3"/>
      </c>
      <c r="R22" s="113" t="s">
        <v>65</v>
      </c>
      <c r="V22" s="125">
        <f t="shared" si="4"/>
      </c>
      <c r="W22" s="125">
        <f t="shared" si="9"/>
      </c>
      <c r="X22" s="126">
        <f t="shared" si="10"/>
      </c>
      <c r="Y22" s="126">
        <f t="shared" si="5"/>
      </c>
      <c r="Z22" s="125">
        <f t="shared" si="6"/>
      </c>
    </row>
    <row r="23" spans="1:26" ht="13.5">
      <c r="A23" s="125">
        <f t="shared" si="7"/>
      </c>
      <c r="B23" s="125">
        <f t="shared" si="8"/>
      </c>
      <c r="C23" s="129">
        <f>'ルール＆合計'!$F$3</f>
        <v>0.02</v>
      </c>
      <c r="D23" s="128" t="e">
        <f t="shared" si="0"/>
        <v>#VALUE!</v>
      </c>
      <c r="N23" s="125">
        <f t="shared" si="1"/>
      </c>
      <c r="P23" s="125">
        <f t="shared" si="3"/>
      </c>
      <c r="V23" s="125">
        <f t="shared" si="4"/>
      </c>
      <c r="W23" s="125">
        <f t="shared" si="9"/>
      </c>
      <c r="X23" s="126">
        <f t="shared" si="10"/>
      </c>
      <c r="Y23" s="126">
        <f t="shared" si="5"/>
      </c>
      <c r="Z23" s="125">
        <f t="shared" si="6"/>
      </c>
    </row>
    <row r="24" spans="1:26" ht="13.5">
      <c r="A24" s="125">
        <f t="shared" si="7"/>
      </c>
      <c r="B24" s="125">
        <f t="shared" si="8"/>
      </c>
      <c r="C24" s="129">
        <f>'ルール＆合計'!$F$3</f>
        <v>0.02</v>
      </c>
      <c r="D24" s="128" t="e">
        <f t="shared" si="0"/>
        <v>#VALUE!</v>
      </c>
      <c r="N24" s="125">
        <f t="shared" si="1"/>
      </c>
      <c r="P24" s="125">
        <f t="shared" si="3"/>
      </c>
      <c r="V24" s="125">
        <f t="shared" si="4"/>
      </c>
      <c r="W24" s="125">
        <f t="shared" si="9"/>
      </c>
      <c r="X24" s="126">
        <f t="shared" si="10"/>
      </c>
      <c r="Y24" s="126">
        <f t="shared" si="5"/>
      </c>
      <c r="Z24" s="125">
        <f t="shared" si="6"/>
      </c>
    </row>
    <row r="25" spans="1:26" ht="13.5">
      <c r="A25" s="125">
        <f t="shared" si="7"/>
      </c>
      <c r="B25" s="125">
        <f t="shared" si="8"/>
      </c>
      <c r="C25" s="129">
        <f>'ルール＆合計'!$F$3</f>
        <v>0.02</v>
      </c>
      <c r="D25" s="128" t="e">
        <f t="shared" si="0"/>
        <v>#VALUE!</v>
      </c>
      <c r="N25" s="125">
        <f t="shared" si="1"/>
      </c>
      <c r="P25" s="125">
        <f t="shared" si="3"/>
      </c>
      <c r="V25" s="125">
        <f t="shared" si="4"/>
      </c>
      <c r="W25" s="125">
        <f t="shared" si="9"/>
      </c>
      <c r="X25" s="126">
        <f t="shared" si="10"/>
      </c>
      <c r="Y25" s="126">
        <f t="shared" si="5"/>
      </c>
      <c r="Z25" s="125">
        <f t="shared" si="6"/>
      </c>
    </row>
    <row r="26" spans="1:26" ht="13.5">
      <c r="A26" s="125">
        <f t="shared" si="7"/>
      </c>
      <c r="B26" s="125">
        <f t="shared" si="8"/>
      </c>
      <c r="C26" s="129">
        <f>'ルール＆合計'!$F$3</f>
        <v>0.02</v>
      </c>
      <c r="D26" s="128" t="e">
        <f t="shared" si="0"/>
        <v>#VALUE!</v>
      </c>
      <c r="N26" s="125">
        <f t="shared" si="1"/>
      </c>
      <c r="P26" s="125">
        <f t="shared" si="3"/>
      </c>
      <c r="V26" s="125">
        <f t="shared" si="4"/>
      </c>
      <c r="W26" s="125">
        <f t="shared" si="9"/>
      </c>
      <c r="X26" s="126">
        <f t="shared" si="10"/>
      </c>
      <c r="Y26" s="126">
        <f t="shared" si="5"/>
      </c>
      <c r="Z26" s="125">
        <f t="shared" si="6"/>
      </c>
    </row>
    <row r="27" spans="1:26" ht="13.5">
      <c r="A27" s="125">
        <f t="shared" si="7"/>
      </c>
      <c r="B27" s="125">
        <f t="shared" si="8"/>
      </c>
      <c r="C27" s="129">
        <f>'ルール＆合計'!$F$3</f>
        <v>0.02</v>
      </c>
      <c r="D27" s="128" t="e">
        <f t="shared" si="0"/>
        <v>#VALUE!</v>
      </c>
      <c r="N27" s="125">
        <f t="shared" si="1"/>
      </c>
      <c r="P27" s="125">
        <f t="shared" si="3"/>
      </c>
      <c r="V27" s="125">
        <f t="shared" si="4"/>
      </c>
      <c r="W27" s="125">
        <f t="shared" si="9"/>
      </c>
      <c r="X27" s="126">
        <f t="shared" si="10"/>
      </c>
      <c r="Y27" s="126">
        <f t="shared" si="5"/>
      </c>
      <c r="Z27" s="125">
        <f t="shared" si="6"/>
      </c>
    </row>
    <row r="28" spans="1:26" ht="13.5" customHeight="1">
      <c r="A28" s="125">
        <f t="shared" si="7"/>
      </c>
      <c r="B28" s="125">
        <f t="shared" si="8"/>
      </c>
      <c r="C28" s="129">
        <f>'ルール＆合計'!$F$3</f>
        <v>0.02</v>
      </c>
      <c r="D28" s="128" t="e">
        <f t="shared" si="0"/>
        <v>#VALUE!</v>
      </c>
      <c r="N28" s="125">
        <f t="shared" si="1"/>
      </c>
      <c r="P28" s="125">
        <f t="shared" si="3"/>
      </c>
      <c r="V28" s="125">
        <f t="shared" si="4"/>
      </c>
      <c r="W28" s="125">
        <f t="shared" si="9"/>
      </c>
      <c r="X28" s="126">
        <f t="shared" si="10"/>
      </c>
      <c r="Y28" s="137">
        <f t="shared" si="5"/>
      </c>
      <c r="Z28" s="125">
        <f t="shared" si="6"/>
      </c>
    </row>
    <row r="29" spans="1:26" ht="13.5">
      <c r="A29" s="125">
        <f t="shared" si="7"/>
      </c>
      <c r="B29" s="125">
        <f t="shared" si="8"/>
      </c>
      <c r="C29" s="129">
        <f>'ルール＆合計'!$F$3</f>
        <v>0.02</v>
      </c>
      <c r="D29" s="128" t="e">
        <f t="shared" si="0"/>
        <v>#VALUE!</v>
      </c>
      <c r="N29" s="125">
        <f t="shared" si="1"/>
      </c>
      <c r="P29" s="125">
        <f t="shared" si="3"/>
      </c>
      <c r="V29" s="127">
        <f t="shared" si="4"/>
      </c>
      <c r="W29" s="125">
        <f t="shared" si="9"/>
      </c>
      <c r="X29" s="126">
        <f t="shared" si="10"/>
      </c>
      <c r="Y29" s="127">
        <f t="shared" si="5"/>
      </c>
      <c r="Z29" s="125">
        <f t="shared" si="6"/>
      </c>
    </row>
    <row r="30" spans="1:26" ht="13.5" customHeight="1">
      <c r="A30" s="125">
        <f t="shared" si="7"/>
      </c>
      <c r="B30" s="125">
        <f t="shared" si="8"/>
      </c>
      <c r="C30" s="129">
        <f>'ルール＆合計'!$F$3</f>
        <v>0.02</v>
      </c>
      <c r="D30" s="128" t="e">
        <f t="shared" si="0"/>
        <v>#VALUE!</v>
      </c>
      <c r="N30" s="125">
        <f t="shared" si="1"/>
      </c>
      <c r="P30" s="125">
        <f t="shared" si="3"/>
      </c>
      <c r="V30" s="125">
        <f t="shared" si="4"/>
      </c>
      <c r="W30" s="125">
        <f t="shared" si="9"/>
      </c>
      <c r="X30" s="126">
        <f t="shared" si="10"/>
      </c>
      <c r="Y30" s="137">
        <f t="shared" si="5"/>
      </c>
      <c r="Z30" s="125">
        <f t="shared" si="6"/>
      </c>
    </row>
    <row r="31" spans="1:26" ht="13.5" customHeight="1">
      <c r="A31" s="125">
        <f t="shared" si="7"/>
      </c>
      <c r="B31" s="125">
        <f t="shared" si="8"/>
      </c>
      <c r="C31" s="129">
        <f>'ルール＆合計'!$F$3</f>
        <v>0.02</v>
      </c>
      <c r="D31" s="128" t="e">
        <f t="shared" si="0"/>
        <v>#VALUE!</v>
      </c>
      <c r="N31" s="125">
        <f t="shared" si="1"/>
      </c>
      <c r="P31" s="125">
        <f t="shared" si="3"/>
      </c>
      <c r="V31" s="125">
        <f t="shared" si="4"/>
      </c>
      <c r="W31" s="125">
        <f t="shared" si="9"/>
      </c>
      <c r="X31" s="126">
        <f t="shared" si="10"/>
      </c>
      <c r="Y31" s="137">
        <f t="shared" si="5"/>
      </c>
      <c r="Z31" s="125">
        <f t="shared" si="6"/>
      </c>
    </row>
    <row r="32" spans="1:26" ht="13.5" customHeight="1">
      <c r="A32" s="125">
        <f t="shared" si="7"/>
      </c>
      <c r="B32" s="125">
        <f t="shared" si="8"/>
      </c>
      <c r="C32" s="129">
        <f>'ルール＆合計'!$F$3</f>
        <v>0.02</v>
      </c>
      <c r="D32" s="128" t="e">
        <f t="shared" si="0"/>
        <v>#VALUE!</v>
      </c>
      <c r="N32" s="125">
        <f t="shared" si="1"/>
      </c>
      <c r="P32" s="125">
        <f t="shared" si="3"/>
      </c>
      <c r="V32" s="125">
        <f t="shared" si="4"/>
      </c>
      <c r="W32" s="125">
        <f t="shared" si="9"/>
      </c>
      <c r="X32" s="126">
        <f t="shared" si="10"/>
      </c>
      <c r="Y32" s="137">
        <f t="shared" si="5"/>
      </c>
      <c r="Z32" s="125">
        <f t="shared" si="6"/>
      </c>
    </row>
    <row r="33" spans="1:26" ht="13.5" customHeight="1">
      <c r="A33" s="125">
        <f t="shared" si="7"/>
      </c>
      <c r="B33" s="125">
        <f t="shared" si="8"/>
      </c>
      <c r="C33" s="129">
        <f>'ルール＆合計'!$F$3</f>
        <v>0.02</v>
      </c>
      <c r="D33" s="128" t="e">
        <f t="shared" si="0"/>
        <v>#VALUE!</v>
      </c>
      <c r="N33" s="125">
        <f t="shared" si="1"/>
      </c>
      <c r="P33" s="125">
        <f t="shared" si="3"/>
      </c>
      <c r="V33" s="125">
        <f t="shared" si="4"/>
      </c>
      <c r="W33" s="125">
        <f t="shared" si="9"/>
      </c>
      <c r="X33" s="126">
        <f t="shared" si="10"/>
      </c>
      <c r="Y33" s="137">
        <f t="shared" si="5"/>
      </c>
      <c r="Z33" s="125">
        <f t="shared" si="6"/>
      </c>
    </row>
    <row r="34" spans="1:26" ht="13.5" customHeight="1">
      <c r="A34" s="125">
        <f t="shared" si="7"/>
      </c>
      <c r="B34" s="125">
        <f t="shared" si="8"/>
      </c>
      <c r="C34" s="129">
        <f>'ルール＆合計'!$F$3</f>
        <v>0.02</v>
      </c>
      <c r="D34" s="128" t="e">
        <f t="shared" si="0"/>
        <v>#VALUE!</v>
      </c>
      <c r="N34" s="125">
        <f t="shared" si="1"/>
      </c>
      <c r="P34" s="125">
        <f t="shared" si="3"/>
      </c>
      <c r="V34" s="125">
        <f t="shared" si="4"/>
      </c>
      <c r="W34" s="125">
        <f t="shared" si="9"/>
      </c>
      <c r="X34" s="126">
        <f t="shared" si="10"/>
      </c>
      <c r="Y34" s="137">
        <f t="shared" si="5"/>
      </c>
      <c r="Z34" s="125">
        <f t="shared" si="6"/>
      </c>
    </row>
    <row r="35" spans="1:26" ht="13.5" customHeight="1">
      <c r="A35" s="125">
        <f t="shared" si="7"/>
      </c>
      <c r="B35" s="125">
        <f t="shared" si="8"/>
      </c>
      <c r="C35" s="129">
        <f>'ルール＆合計'!$F$3</f>
        <v>0.02</v>
      </c>
      <c r="D35" s="128" t="e">
        <f t="shared" si="0"/>
        <v>#VALUE!</v>
      </c>
      <c r="N35" s="125">
        <f t="shared" si="1"/>
      </c>
      <c r="P35" s="125">
        <f t="shared" si="3"/>
      </c>
      <c r="V35" s="125">
        <f t="shared" si="4"/>
      </c>
      <c r="W35" s="125">
        <f t="shared" si="9"/>
      </c>
      <c r="X35" s="126">
        <f t="shared" si="10"/>
      </c>
      <c r="Y35" s="137">
        <f t="shared" si="5"/>
      </c>
      <c r="Z35" s="125">
        <f t="shared" si="6"/>
      </c>
    </row>
    <row r="36" spans="1:26" ht="13.5" customHeight="1">
      <c r="A36" s="125">
        <f t="shared" si="7"/>
      </c>
      <c r="B36" s="125">
        <f t="shared" si="8"/>
      </c>
      <c r="C36" s="129">
        <f>'ルール＆合計'!$F$3</f>
        <v>0.02</v>
      </c>
      <c r="D36" s="128" t="e">
        <f t="shared" si="0"/>
        <v>#VALUE!</v>
      </c>
      <c r="N36" s="125">
        <f t="shared" si="1"/>
      </c>
      <c r="P36" s="125">
        <f t="shared" si="3"/>
      </c>
      <c r="V36" s="125">
        <f t="shared" si="4"/>
      </c>
      <c r="W36" s="125">
        <f t="shared" si="9"/>
      </c>
      <c r="X36" s="126">
        <f t="shared" si="10"/>
      </c>
      <c r="Y36" s="137">
        <f t="shared" si="5"/>
      </c>
      <c r="Z36" s="125">
        <f t="shared" si="6"/>
      </c>
    </row>
    <row r="37" spans="1:26" ht="13.5" customHeight="1">
      <c r="A37" s="125">
        <f t="shared" si="7"/>
      </c>
      <c r="B37" s="125">
        <f t="shared" si="8"/>
      </c>
      <c r="C37" s="129">
        <f>'ルール＆合計'!$F$3</f>
        <v>0.02</v>
      </c>
      <c r="D37" s="128" t="e">
        <f t="shared" si="0"/>
        <v>#VALUE!</v>
      </c>
      <c r="N37" s="125">
        <f t="shared" si="1"/>
      </c>
      <c r="P37" s="125">
        <f t="shared" si="3"/>
      </c>
      <c r="V37" s="125">
        <f t="shared" si="4"/>
      </c>
      <c r="W37" s="125">
        <f t="shared" si="9"/>
      </c>
      <c r="X37" s="126">
        <f t="shared" si="10"/>
      </c>
      <c r="Y37" s="137">
        <f t="shared" si="5"/>
      </c>
      <c r="Z37" s="125">
        <f t="shared" si="6"/>
      </c>
    </row>
    <row r="38" spans="1:26" ht="13.5" customHeight="1">
      <c r="A38" s="125">
        <f t="shared" si="7"/>
      </c>
      <c r="B38" s="125">
        <f t="shared" si="8"/>
      </c>
      <c r="C38" s="129">
        <f>'ルール＆合計'!$F$3</f>
        <v>0.02</v>
      </c>
      <c r="D38" s="128" t="e">
        <f t="shared" si="0"/>
        <v>#VALUE!</v>
      </c>
      <c r="N38" s="125">
        <f t="shared" si="1"/>
      </c>
      <c r="P38" s="125">
        <f t="shared" si="3"/>
      </c>
      <c r="V38" s="125">
        <f t="shared" si="4"/>
      </c>
      <c r="W38" s="125">
        <f t="shared" si="9"/>
      </c>
      <c r="X38" s="126">
        <f t="shared" si="10"/>
      </c>
      <c r="Y38" s="137">
        <f t="shared" si="5"/>
      </c>
      <c r="Z38" s="125">
        <f t="shared" si="6"/>
      </c>
    </row>
    <row r="39" spans="1:26" ht="13.5" customHeight="1">
      <c r="A39" s="125">
        <f t="shared" si="7"/>
      </c>
      <c r="B39" s="125">
        <f t="shared" si="8"/>
      </c>
      <c r="C39" s="129">
        <f>'ルール＆合計'!$F$3</f>
        <v>0.02</v>
      </c>
      <c r="D39" s="128" t="e">
        <f t="shared" si="0"/>
        <v>#VALUE!</v>
      </c>
      <c r="N39" s="125">
        <f t="shared" si="1"/>
      </c>
      <c r="P39" s="125">
        <f t="shared" si="3"/>
      </c>
      <c r="V39" s="125">
        <f t="shared" si="4"/>
      </c>
      <c r="W39" s="125">
        <f t="shared" si="9"/>
      </c>
      <c r="X39" s="126">
        <f t="shared" si="10"/>
      </c>
      <c r="Y39" s="137">
        <f t="shared" si="5"/>
      </c>
      <c r="Z39" s="125">
        <f t="shared" si="6"/>
      </c>
    </row>
    <row r="40" spans="1:26" ht="13.5" customHeight="1">
      <c r="A40" s="125">
        <f t="shared" si="7"/>
      </c>
      <c r="B40" s="125">
        <f t="shared" si="8"/>
      </c>
      <c r="C40" s="129">
        <f>'ルール＆合計'!$F$3</f>
        <v>0.02</v>
      </c>
      <c r="D40" s="128" t="e">
        <f t="shared" si="0"/>
        <v>#VALUE!</v>
      </c>
      <c r="N40" s="125">
        <f t="shared" si="1"/>
      </c>
      <c r="P40" s="125">
        <f t="shared" si="3"/>
      </c>
      <c r="V40" s="125">
        <f t="shared" si="4"/>
      </c>
      <c r="W40" s="125">
        <f t="shared" si="9"/>
      </c>
      <c r="X40" s="126">
        <f t="shared" si="10"/>
      </c>
      <c r="Y40" s="137">
        <f t="shared" si="5"/>
      </c>
      <c r="Z40" s="125">
        <f t="shared" si="6"/>
      </c>
    </row>
    <row r="41" spans="1:26" ht="13.5" customHeight="1">
      <c r="A41" s="125">
        <f t="shared" si="7"/>
      </c>
      <c r="B41" s="125">
        <f t="shared" si="8"/>
      </c>
      <c r="C41" s="129">
        <f>'ルール＆合計'!$F$3</f>
        <v>0.02</v>
      </c>
      <c r="D41" s="128" t="e">
        <f t="shared" si="0"/>
        <v>#VALUE!</v>
      </c>
      <c r="N41" s="125">
        <f t="shared" si="1"/>
      </c>
      <c r="P41" s="125">
        <f t="shared" si="3"/>
      </c>
      <c r="V41" s="125">
        <f t="shared" si="4"/>
      </c>
      <c r="W41" s="125">
        <f t="shared" si="9"/>
      </c>
      <c r="X41" s="126">
        <f t="shared" si="10"/>
      </c>
      <c r="Y41" s="137">
        <f t="shared" si="5"/>
      </c>
      <c r="Z41" s="125">
        <f t="shared" si="6"/>
      </c>
    </row>
    <row r="42" spans="1:26" ht="13.5" customHeight="1">
      <c r="A42" s="125">
        <f t="shared" si="7"/>
      </c>
      <c r="B42" s="125">
        <f t="shared" si="8"/>
      </c>
      <c r="C42" s="129">
        <f>'ルール＆合計'!$F$3</f>
        <v>0.02</v>
      </c>
      <c r="D42" s="128" t="e">
        <f t="shared" si="0"/>
        <v>#VALUE!</v>
      </c>
      <c r="N42" s="125">
        <f t="shared" si="1"/>
      </c>
      <c r="P42" s="125">
        <f t="shared" si="3"/>
      </c>
      <c r="V42" s="125">
        <f t="shared" si="4"/>
      </c>
      <c r="W42" s="125">
        <f t="shared" si="9"/>
      </c>
      <c r="X42" s="126">
        <f t="shared" si="10"/>
      </c>
      <c r="Y42" s="137">
        <f t="shared" si="5"/>
      </c>
      <c r="Z42" s="125">
        <f t="shared" si="6"/>
      </c>
    </row>
    <row r="43" spans="1:26" ht="13.5" customHeight="1">
      <c r="A43" s="125">
        <f t="shared" si="7"/>
      </c>
      <c r="B43" s="125">
        <f t="shared" si="8"/>
      </c>
      <c r="C43" s="129">
        <f>'ルール＆合計'!$F$3</f>
        <v>0.02</v>
      </c>
      <c r="D43" s="128" t="e">
        <f t="shared" si="0"/>
        <v>#VALUE!</v>
      </c>
      <c r="N43" s="125">
        <f t="shared" si="1"/>
      </c>
      <c r="P43" s="125">
        <f t="shared" si="3"/>
      </c>
      <c r="V43" s="125">
        <f t="shared" si="4"/>
      </c>
      <c r="W43" s="125">
        <f t="shared" si="9"/>
      </c>
      <c r="X43" s="126">
        <f t="shared" si="10"/>
      </c>
      <c r="Y43" s="137">
        <f t="shared" si="5"/>
      </c>
      <c r="Z43" s="125">
        <f t="shared" si="6"/>
      </c>
    </row>
    <row r="44" spans="1:26" ht="13.5" customHeight="1">
      <c r="A44" s="125">
        <f t="shared" si="7"/>
      </c>
      <c r="B44" s="125">
        <f t="shared" si="8"/>
      </c>
      <c r="C44" s="129">
        <f>'ルール＆合計'!$F$3</f>
        <v>0.02</v>
      </c>
      <c r="D44" s="128" t="e">
        <f t="shared" si="0"/>
        <v>#VALUE!</v>
      </c>
      <c r="N44" s="125">
        <f t="shared" si="1"/>
      </c>
      <c r="P44" s="125">
        <f t="shared" si="3"/>
      </c>
      <c r="V44" s="125">
        <f t="shared" si="4"/>
      </c>
      <c r="W44" s="125">
        <f t="shared" si="9"/>
      </c>
      <c r="X44" s="126">
        <f t="shared" si="10"/>
      </c>
      <c r="Y44" s="137">
        <f t="shared" si="5"/>
      </c>
      <c r="Z44" s="125">
        <f t="shared" si="6"/>
      </c>
    </row>
    <row r="45" spans="1:26" ht="13.5" customHeight="1">
      <c r="A45" s="125">
        <f t="shared" si="7"/>
      </c>
      <c r="B45" s="125">
        <f t="shared" si="8"/>
      </c>
      <c r="C45" s="129">
        <f>'ルール＆合計'!$F$3</f>
        <v>0.02</v>
      </c>
      <c r="D45" s="128" t="e">
        <f t="shared" si="0"/>
        <v>#VALUE!</v>
      </c>
      <c r="N45" s="125">
        <f t="shared" si="1"/>
      </c>
      <c r="P45" s="125">
        <f t="shared" si="3"/>
      </c>
      <c r="V45" s="125">
        <f t="shared" si="4"/>
      </c>
      <c r="W45" s="125">
        <f t="shared" si="9"/>
      </c>
      <c r="X45" s="126">
        <f t="shared" si="10"/>
      </c>
      <c r="Y45" s="137">
        <f t="shared" si="5"/>
      </c>
      <c r="Z45" s="125">
        <f t="shared" si="6"/>
      </c>
    </row>
    <row r="46" spans="1:26" ht="13.5" customHeight="1">
      <c r="A46" s="125">
        <f t="shared" si="7"/>
      </c>
      <c r="B46" s="125">
        <f t="shared" si="8"/>
      </c>
      <c r="C46" s="129">
        <f>'ルール＆合計'!$F$3</f>
        <v>0.02</v>
      </c>
      <c r="D46" s="128" t="e">
        <f t="shared" si="0"/>
        <v>#VALUE!</v>
      </c>
      <c r="N46" s="125">
        <f t="shared" si="1"/>
      </c>
      <c r="P46" s="125">
        <f t="shared" si="3"/>
      </c>
      <c r="V46" s="125">
        <f t="shared" si="4"/>
      </c>
      <c r="W46" s="125">
        <f t="shared" si="9"/>
      </c>
      <c r="X46" s="126">
        <f t="shared" si="10"/>
      </c>
      <c r="Y46" s="137">
        <f t="shared" si="5"/>
      </c>
      <c r="Z46" s="125">
        <f t="shared" si="6"/>
      </c>
    </row>
    <row r="47" spans="1:26" ht="13.5" customHeight="1">
      <c r="A47" s="125">
        <f t="shared" si="7"/>
      </c>
      <c r="B47" s="125">
        <f t="shared" si="8"/>
      </c>
      <c r="C47" s="129">
        <f>'ルール＆合計'!$F$3</f>
        <v>0.02</v>
      </c>
      <c r="D47" s="128" t="e">
        <f t="shared" si="0"/>
        <v>#VALUE!</v>
      </c>
      <c r="N47" s="125">
        <f t="shared" si="1"/>
      </c>
      <c r="P47" s="125">
        <f t="shared" si="3"/>
      </c>
      <c r="V47" s="125">
        <f t="shared" si="4"/>
      </c>
      <c r="W47" s="125">
        <f t="shared" si="9"/>
      </c>
      <c r="X47" s="126">
        <f t="shared" si="10"/>
      </c>
      <c r="Y47" s="137">
        <f t="shared" si="5"/>
      </c>
      <c r="Z47" s="125">
        <f t="shared" si="6"/>
      </c>
    </row>
    <row r="48" spans="1:26" ht="13.5" customHeight="1">
      <c r="A48" s="125">
        <f t="shared" si="7"/>
      </c>
      <c r="B48" s="125">
        <f t="shared" si="8"/>
      </c>
      <c r="C48" s="129">
        <f>'ルール＆合計'!$F$3</f>
        <v>0.02</v>
      </c>
      <c r="D48" s="128" t="e">
        <f t="shared" si="0"/>
        <v>#VALUE!</v>
      </c>
      <c r="N48" s="125">
        <f t="shared" si="1"/>
      </c>
      <c r="P48" s="125">
        <f t="shared" si="3"/>
      </c>
      <c r="V48" s="125">
        <f t="shared" si="4"/>
      </c>
      <c r="W48" s="125">
        <f t="shared" si="9"/>
      </c>
      <c r="X48" s="126">
        <f t="shared" si="10"/>
      </c>
      <c r="Y48" s="137">
        <f t="shared" si="5"/>
      </c>
      <c r="Z48" s="125">
        <f t="shared" si="6"/>
      </c>
    </row>
    <row r="49" spans="1:26" ht="13.5" customHeight="1">
      <c r="A49" s="125">
        <f t="shared" si="7"/>
      </c>
      <c r="B49" s="125">
        <f t="shared" si="8"/>
      </c>
      <c r="C49" s="129">
        <f>'ルール＆合計'!$F$3</f>
        <v>0.02</v>
      </c>
      <c r="D49" s="128" t="e">
        <f t="shared" si="0"/>
        <v>#VALUE!</v>
      </c>
      <c r="N49" s="125">
        <f t="shared" si="1"/>
      </c>
      <c r="P49" s="125">
        <f t="shared" si="3"/>
      </c>
      <c r="V49" s="125">
        <f t="shared" si="4"/>
      </c>
      <c r="W49" s="125">
        <f t="shared" si="9"/>
      </c>
      <c r="X49" s="126">
        <f t="shared" si="10"/>
      </c>
      <c r="Y49" s="137">
        <f t="shared" si="5"/>
      </c>
      <c r="Z49" s="125">
        <f t="shared" si="6"/>
      </c>
    </row>
    <row r="50" spans="1:26" ht="13.5" customHeight="1">
      <c r="A50" s="125">
        <f t="shared" si="7"/>
      </c>
      <c r="B50" s="125">
        <f t="shared" si="8"/>
      </c>
      <c r="C50" s="129">
        <f>'ルール＆合計'!$F$3</f>
        <v>0.02</v>
      </c>
      <c r="D50" s="128" t="e">
        <f t="shared" si="0"/>
        <v>#VALUE!</v>
      </c>
      <c r="N50" s="125">
        <f t="shared" si="1"/>
      </c>
      <c r="P50" s="125">
        <f t="shared" si="3"/>
      </c>
      <c r="V50" s="125">
        <f t="shared" si="4"/>
      </c>
      <c r="W50" s="125">
        <f t="shared" si="9"/>
      </c>
      <c r="X50" s="126">
        <f t="shared" si="10"/>
      </c>
      <c r="Y50" s="137">
        <f t="shared" si="5"/>
      </c>
      <c r="Z50" s="125">
        <f t="shared" si="6"/>
      </c>
    </row>
    <row r="51" spans="1:26" ht="13.5" customHeight="1">
      <c r="A51" s="125">
        <f t="shared" si="7"/>
      </c>
      <c r="B51" s="125">
        <f t="shared" si="8"/>
      </c>
      <c r="C51" s="129">
        <f>'ルール＆合計'!$F$3</f>
        <v>0.02</v>
      </c>
      <c r="D51" s="128" t="e">
        <f t="shared" si="0"/>
        <v>#VALUE!</v>
      </c>
      <c r="N51" s="125">
        <f t="shared" si="1"/>
      </c>
      <c r="P51" s="125">
        <f t="shared" si="3"/>
      </c>
      <c r="V51" s="125">
        <f t="shared" si="4"/>
      </c>
      <c r="W51" s="125">
        <f t="shared" si="9"/>
      </c>
      <c r="X51" s="126">
        <f t="shared" si="10"/>
      </c>
      <c r="Y51" s="137">
        <f t="shared" si="5"/>
      </c>
      <c r="Z51" s="125">
        <f t="shared" si="6"/>
      </c>
    </row>
    <row r="52" spans="1:26" ht="13.5" customHeight="1">
      <c r="A52" s="125">
        <f t="shared" si="7"/>
      </c>
      <c r="B52" s="125">
        <f t="shared" si="8"/>
      </c>
      <c r="C52" s="129">
        <f>'ルール＆合計'!$F$3</f>
        <v>0.02</v>
      </c>
      <c r="D52" s="128" t="e">
        <f t="shared" si="0"/>
        <v>#VALUE!</v>
      </c>
      <c r="N52" s="125">
        <f t="shared" si="1"/>
      </c>
      <c r="P52" s="125">
        <f t="shared" si="3"/>
      </c>
      <c r="V52" s="125">
        <f t="shared" si="4"/>
      </c>
      <c r="W52" s="125">
        <f t="shared" si="9"/>
      </c>
      <c r="X52" s="126">
        <f t="shared" si="10"/>
      </c>
      <c r="Y52" s="137">
        <f t="shared" si="5"/>
      </c>
      <c r="Z52" s="125">
        <f t="shared" si="6"/>
      </c>
    </row>
    <row r="53" spans="1:26" ht="13.5" customHeight="1">
      <c r="A53" s="125">
        <f t="shared" si="7"/>
      </c>
      <c r="B53" s="125">
        <f t="shared" si="8"/>
      </c>
      <c r="C53" s="129">
        <f>'ルール＆合計'!$F$3</f>
        <v>0.02</v>
      </c>
      <c r="D53" s="128" t="e">
        <f t="shared" si="0"/>
        <v>#VALUE!</v>
      </c>
      <c r="N53" s="125">
        <f t="shared" si="1"/>
      </c>
      <c r="P53" s="125">
        <f t="shared" si="3"/>
      </c>
      <c r="V53" s="125">
        <f t="shared" si="4"/>
      </c>
      <c r="W53" s="125">
        <f t="shared" si="9"/>
      </c>
      <c r="X53" s="126">
        <f t="shared" si="10"/>
      </c>
      <c r="Y53" s="137">
        <f t="shared" si="5"/>
      </c>
      <c r="Z53" s="125">
        <f t="shared" si="6"/>
      </c>
    </row>
    <row r="54" spans="1:26" ht="13.5" customHeight="1">
      <c r="A54" s="125">
        <f t="shared" si="7"/>
      </c>
      <c r="B54" s="125">
        <f t="shared" si="8"/>
      </c>
      <c r="C54" s="129">
        <f>'ルール＆合計'!$F$3</f>
        <v>0.02</v>
      </c>
      <c r="D54" s="128" t="e">
        <f t="shared" si="0"/>
        <v>#VALUE!</v>
      </c>
      <c r="N54" s="125">
        <f t="shared" si="1"/>
      </c>
      <c r="P54" s="125">
        <f t="shared" si="3"/>
      </c>
      <c r="V54" s="125">
        <f t="shared" si="4"/>
      </c>
      <c r="W54" s="125">
        <f t="shared" si="9"/>
      </c>
      <c r="X54" s="126">
        <f t="shared" si="10"/>
      </c>
      <c r="Y54" s="137">
        <f t="shared" si="5"/>
      </c>
      <c r="Z54" s="125">
        <f t="shared" si="6"/>
      </c>
    </row>
    <row r="55" spans="1:26" ht="13.5" customHeight="1">
      <c r="A55" s="125">
        <f t="shared" si="7"/>
      </c>
      <c r="B55" s="125">
        <f t="shared" si="8"/>
      </c>
      <c r="C55" s="129">
        <f>'ルール＆合計'!$F$3</f>
        <v>0.02</v>
      </c>
      <c r="D55" s="128" t="e">
        <f t="shared" si="0"/>
        <v>#VALUE!</v>
      </c>
      <c r="N55" s="125">
        <f t="shared" si="1"/>
      </c>
      <c r="P55" s="125">
        <f t="shared" si="3"/>
      </c>
      <c r="V55" s="125">
        <f t="shared" si="4"/>
      </c>
      <c r="W55" s="125">
        <f t="shared" si="9"/>
      </c>
      <c r="X55" s="126">
        <f t="shared" si="10"/>
      </c>
      <c r="Y55" s="137">
        <f t="shared" si="5"/>
      </c>
      <c r="Z55" s="125">
        <f t="shared" si="6"/>
      </c>
    </row>
    <row r="56" spans="1:26" ht="13.5" customHeight="1">
      <c r="A56" s="125">
        <f t="shared" si="7"/>
      </c>
      <c r="B56" s="125">
        <f t="shared" si="8"/>
      </c>
      <c r="C56" s="129">
        <f>'ルール＆合計'!$F$3</f>
        <v>0.02</v>
      </c>
      <c r="D56" s="128" t="e">
        <f t="shared" si="0"/>
        <v>#VALUE!</v>
      </c>
      <c r="N56" s="125">
        <f t="shared" si="1"/>
      </c>
      <c r="P56" s="125">
        <f t="shared" si="3"/>
      </c>
      <c r="V56" s="125">
        <f t="shared" si="4"/>
      </c>
      <c r="W56" s="125">
        <f t="shared" si="9"/>
      </c>
      <c r="X56" s="126">
        <f t="shared" si="10"/>
      </c>
      <c r="Y56" s="137">
        <f t="shared" si="5"/>
      </c>
      <c r="Z56" s="125">
        <f t="shared" si="6"/>
      </c>
    </row>
    <row r="57" spans="1:26" ht="13.5" customHeight="1">
      <c r="A57" s="125">
        <f t="shared" si="7"/>
      </c>
      <c r="B57" s="125">
        <f t="shared" si="8"/>
      </c>
      <c r="C57" s="129">
        <f>'ルール＆合計'!$F$3</f>
        <v>0.02</v>
      </c>
      <c r="D57" s="128" t="e">
        <f t="shared" si="0"/>
        <v>#VALUE!</v>
      </c>
      <c r="N57" s="125">
        <f t="shared" si="1"/>
      </c>
      <c r="P57" s="125">
        <f t="shared" si="3"/>
      </c>
      <c r="V57" s="125">
        <f t="shared" si="4"/>
      </c>
      <c r="W57" s="125">
        <f t="shared" si="9"/>
      </c>
      <c r="X57" s="126">
        <f t="shared" si="10"/>
      </c>
      <c r="Y57" s="137">
        <f t="shared" si="5"/>
      </c>
      <c r="Z57" s="125">
        <f t="shared" si="6"/>
      </c>
    </row>
    <row r="58" spans="1:26" ht="13.5" customHeight="1">
      <c r="A58" s="125">
        <f t="shared" si="7"/>
      </c>
      <c r="B58" s="125">
        <f t="shared" si="8"/>
      </c>
      <c r="C58" s="129">
        <f>'ルール＆合計'!$F$3</f>
        <v>0.02</v>
      </c>
      <c r="D58" s="128" t="e">
        <f t="shared" si="0"/>
        <v>#VALUE!</v>
      </c>
      <c r="N58" s="125">
        <f t="shared" si="1"/>
      </c>
      <c r="P58" s="125">
        <f t="shared" si="3"/>
      </c>
      <c r="V58" s="125">
        <f t="shared" si="4"/>
      </c>
      <c r="W58" s="125">
        <f t="shared" si="9"/>
      </c>
      <c r="X58" s="126">
        <f t="shared" si="10"/>
      </c>
      <c r="Y58" s="137">
        <f t="shared" si="5"/>
      </c>
      <c r="Z58" s="125">
        <f t="shared" si="6"/>
      </c>
    </row>
    <row r="59" spans="1:26" ht="13.5" customHeight="1">
      <c r="A59" s="125">
        <f t="shared" si="7"/>
      </c>
      <c r="B59" s="125">
        <f t="shared" si="8"/>
      </c>
      <c r="C59" s="129">
        <f>'ルール＆合計'!$F$3</f>
        <v>0.02</v>
      </c>
      <c r="D59" s="128" t="e">
        <f t="shared" si="0"/>
        <v>#VALUE!</v>
      </c>
      <c r="N59" s="125">
        <f t="shared" si="1"/>
      </c>
      <c r="P59" s="125">
        <f t="shared" si="3"/>
      </c>
      <c r="V59" s="125">
        <f t="shared" si="4"/>
      </c>
      <c r="W59" s="125">
        <f t="shared" si="9"/>
      </c>
      <c r="X59" s="126">
        <f t="shared" si="10"/>
      </c>
      <c r="Y59" s="137">
        <f t="shared" si="5"/>
      </c>
      <c r="Z59" s="125">
        <f t="shared" si="6"/>
      </c>
    </row>
    <row r="60" spans="1:26" ht="13.5" customHeight="1">
      <c r="A60" s="125">
        <f t="shared" si="7"/>
      </c>
      <c r="B60" s="125">
        <f t="shared" si="8"/>
      </c>
      <c r="C60" s="129">
        <f>'ルール＆合計'!$F$3</f>
        <v>0.02</v>
      </c>
      <c r="D60" s="128" t="e">
        <f t="shared" si="0"/>
        <v>#VALUE!</v>
      </c>
      <c r="N60" s="125">
        <f t="shared" si="1"/>
      </c>
      <c r="P60" s="125">
        <f t="shared" si="3"/>
      </c>
      <c r="V60" s="125">
        <f t="shared" si="4"/>
      </c>
      <c r="W60" s="125">
        <f t="shared" si="9"/>
      </c>
      <c r="X60" s="126">
        <f t="shared" si="10"/>
      </c>
      <c r="Y60" s="137">
        <f t="shared" si="5"/>
      </c>
      <c r="Z60" s="125">
        <f t="shared" si="6"/>
      </c>
    </row>
    <row r="61" spans="1:26" ht="13.5" customHeight="1">
      <c r="A61" s="125">
        <f t="shared" si="7"/>
      </c>
      <c r="B61" s="125">
        <f t="shared" si="8"/>
      </c>
      <c r="C61" s="129">
        <f>'ルール＆合計'!$F$3</f>
        <v>0.02</v>
      </c>
      <c r="D61" s="128" t="e">
        <f t="shared" si="0"/>
        <v>#VALUE!</v>
      </c>
      <c r="N61" s="125">
        <f t="shared" si="1"/>
      </c>
      <c r="P61" s="125">
        <f t="shared" si="3"/>
      </c>
      <c r="V61" s="125">
        <f t="shared" si="4"/>
      </c>
      <c r="W61" s="125">
        <f t="shared" si="9"/>
      </c>
      <c r="X61" s="126">
        <f t="shared" si="10"/>
      </c>
      <c r="Y61" s="137">
        <f t="shared" si="5"/>
      </c>
      <c r="Z61" s="125">
        <f t="shared" si="6"/>
      </c>
    </row>
    <row r="62" spans="1:26" ht="13.5" customHeight="1">
      <c r="A62" s="125">
        <f t="shared" si="7"/>
      </c>
      <c r="B62" s="125">
        <f t="shared" si="8"/>
      </c>
      <c r="C62" s="129">
        <f>'ルール＆合計'!$F$3</f>
        <v>0.02</v>
      </c>
      <c r="D62" s="128" t="e">
        <f t="shared" si="0"/>
        <v>#VALUE!</v>
      </c>
      <c r="N62" s="125">
        <f t="shared" si="1"/>
      </c>
      <c r="P62" s="125">
        <f t="shared" si="3"/>
      </c>
      <c r="V62" s="125">
        <f t="shared" si="4"/>
      </c>
      <c r="W62" s="125">
        <f t="shared" si="9"/>
      </c>
      <c r="X62" s="126">
        <f t="shared" si="10"/>
      </c>
      <c r="Y62" s="137">
        <f t="shared" si="5"/>
      </c>
      <c r="Z62" s="125">
        <f t="shared" si="6"/>
      </c>
    </row>
    <row r="63" spans="1:26" ht="13.5" customHeight="1">
      <c r="A63" s="125">
        <f t="shared" si="7"/>
      </c>
      <c r="B63" s="125">
        <f t="shared" si="8"/>
      </c>
      <c r="C63" s="129">
        <f>'ルール＆合計'!$F$3</f>
        <v>0.02</v>
      </c>
      <c r="D63" s="128" t="e">
        <f t="shared" si="0"/>
        <v>#VALUE!</v>
      </c>
      <c r="N63" s="125">
        <f t="shared" si="1"/>
      </c>
      <c r="P63" s="125">
        <f t="shared" si="3"/>
      </c>
      <c r="V63" s="125">
        <f t="shared" si="4"/>
      </c>
      <c r="W63" s="125">
        <f t="shared" si="9"/>
      </c>
      <c r="X63" s="126">
        <f t="shared" si="10"/>
      </c>
      <c r="Y63" s="137">
        <f t="shared" si="5"/>
      </c>
      <c r="Z63" s="125">
        <f t="shared" si="6"/>
      </c>
    </row>
    <row r="64" spans="1:26" ht="13.5" customHeight="1">
      <c r="A64" s="125">
        <f t="shared" si="7"/>
      </c>
      <c r="B64" s="125">
        <f t="shared" si="8"/>
      </c>
      <c r="C64" s="129">
        <f>'ルール＆合計'!$F$3</f>
        <v>0.02</v>
      </c>
      <c r="D64" s="128" t="e">
        <f t="shared" si="0"/>
        <v>#VALUE!</v>
      </c>
      <c r="N64" s="125">
        <f t="shared" si="1"/>
      </c>
      <c r="P64" s="125">
        <f t="shared" si="3"/>
      </c>
      <c r="V64" s="125">
        <f t="shared" si="4"/>
      </c>
      <c r="W64" s="125">
        <f t="shared" si="9"/>
      </c>
      <c r="X64" s="126">
        <f t="shared" si="10"/>
      </c>
      <c r="Y64" s="137">
        <f t="shared" si="5"/>
      </c>
      <c r="Z64" s="125">
        <f t="shared" si="6"/>
      </c>
    </row>
    <row r="65" spans="1:26" ht="13.5" customHeight="1">
      <c r="A65" s="125">
        <f t="shared" si="7"/>
      </c>
      <c r="B65" s="125">
        <f t="shared" si="8"/>
      </c>
      <c r="C65" s="129">
        <f>'ルール＆合計'!$F$3</f>
        <v>0.02</v>
      </c>
      <c r="D65" s="128" t="e">
        <f t="shared" si="0"/>
        <v>#VALUE!</v>
      </c>
      <c r="N65" s="125">
        <f t="shared" si="1"/>
      </c>
      <c r="P65" s="125">
        <f t="shared" si="3"/>
      </c>
      <c r="V65" s="125">
        <f t="shared" si="4"/>
      </c>
      <c r="W65" s="125">
        <f t="shared" si="9"/>
      </c>
      <c r="X65" s="126">
        <f t="shared" si="10"/>
      </c>
      <c r="Y65" s="137">
        <f t="shared" si="5"/>
      </c>
      <c r="Z65" s="125">
        <f t="shared" si="6"/>
      </c>
    </row>
    <row r="66" spans="1:26" ht="13.5" customHeight="1">
      <c r="A66" s="125">
        <f t="shared" si="7"/>
      </c>
      <c r="B66" s="125">
        <f t="shared" si="8"/>
      </c>
      <c r="C66" s="129">
        <f>'ルール＆合計'!$F$3</f>
        <v>0.02</v>
      </c>
      <c r="D66" s="128" t="e">
        <f t="shared" si="0"/>
        <v>#VALUE!</v>
      </c>
      <c r="N66" s="125">
        <f t="shared" si="1"/>
      </c>
      <c r="P66" s="125">
        <f t="shared" si="3"/>
      </c>
      <c r="V66" s="125">
        <f t="shared" si="4"/>
      </c>
      <c r="W66" s="125">
        <f t="shared" si="9"/>
      </c>
      <c r="X66" s="126">
        <f t="shared" si="10"/>
      </c>
      <c r="Y66" s="137">
        <f t="shared" si="5"/>
      </c>
      <c r="Z66" s="125">
        <f t="shared" si="6"/>
      </c>
    </row>
    <row r="67" spans="1:26" ht="13.5" customHeight="1">
      <c r="A67" s="125">
        <f t="shared" si="7"/>
      </c>
      <c r="B67" s="125">
        <f t="shared" si="8"/>
      </c>
      <c r="C67" s="129">
        <f>'ルール＆合計'!$F$3</f>
        <v>0.02</v>
      </c>
      <c r="D67" s="128" t="e">
        <f t="shared" si="0"/>
        <v>#VALUE!</v>
      </c>
      <c r="N67" s="125">
        <f t="shared" si="1"/>
      </c>
      <c r="P67" s="125">
        <f t="shared" si="3"/>
      </c>
      <c r="V67" s="125">
        <f t="shared" si="4"/>
      </c>
      <c r="W67" s="125">
        <f t="shared" si="9"/>
      </c>
      <c r="X67" s="126">
        <f t="shared" si="10"/>
      </c>
      <c r="Y67" s="137">
        <f t="shared" si="5"/>
      </c>
      <c r="Z67" s="125">
        <f t="shared" si="6"/>
      </c>
    </row>
    <row r="68" spans="1:26" ht="13.5" customHeight="1">
      <c r="A68" s="125">
        <f t="shared" si="7"/>
      </c>
      <c r="B68" s="125">
        <f t="shared" si="8"/>
      </c>
      <c r="C68" s="129">
        <f>'ルール＆合計'!$F$3</f>
        <v>0.02</v>
      </c>
      <c r="D68" s="128" t="e">
        <f aca="true" t="shared" si="11" ref="D68:D112">B68*C68</f>
        <v>#VALUE!</v>
      </c>
      <c r="N68" s="125">
        <f aca="true" t="shared" si="12" ref="N68:N112">IF(L68&lt;&gt;"",ABS(L68-J68)/0.01,"")</f>
      </c>
      <c r="P68" s="125">
        <f aca="true" t="shared" si="13" ref="P68:P112">IF(O68&lt;&gt;"",ROUNDDOWN(B68*C68/N68/J68,2),"")</f>
      </c>
      <c r="V68" s="125">
        <f aca="true" t="shared" si="14" ref="V68:V112">IF(H68&lt;&gt;"",IF(H68="買い",IF(W68&gt;0,"勝ち","負け"),IF(H68="売り",IF(W68&gt;0,"負け","勝ち"))),"")</f>
      </c>
      <c r="W68" s="125">
        <f t="shared" si="9"/>
      </c>
      <c r="X68" s="126">
        <f t="shared" si="10"/>
      </c>
      <c r="Y68" s="137">
        <f aca="true" t="shared" si="15" ref="Y68:Y112">IF(V68&lt;&gt;"",IF(V68="負け",W68/0.01,0),"")</f>
      </c>
      <c r="Z68" s="125">
        <f aca="true" t="shared" si="16" ref="Z68:Z112">IF(V68&lt;&gt;"",IF(V68="勝ち",IF(W68&gt;0,W68*E68,ABS(W68*E68)),IF(V68="負け",IF(W68&gt;0,(W68*E68)*-1,W68*E68),"")),"")</f>
      </c>
    </row>
    <row r="69" spans="1:26" ht="13.5" customHeight="1">
      <c r="A69" s="125">
        <f aca="true" t="shared" si="17" ref="A69:A112">IF($F69&lt;&gt;"",ROW()-2,"")</f>
      </c>
      <c r="B69" s="125">
        <f aca="true" t="shared" si="18" ref="B69:B112">IF(V68&lt;&gt;"",B68+ROUND(Z68,0),"")</f>
      </c>
      <c r="C69" s="129">
        <f>'ルール＆合計'!$F$3</f>
        <v>0.02</v>
      </c>
      <c r="D69" s="128" t="e">
        <f t="shared" si="11"/>
        <v>#VALUE!</v>
      </c>
      <c r="N69" s="125">
        <f t="shared" si="12"/>
      </c>
      <c r="P69" s="125">
        <f t="shared" si="13"/>
      </c>
      <c r="V69" s="125">
        <f t="shared" si="14"/>
      </c>
      <c r="W69" s="125">
        <f aca="true" t="shared" si="19" ref="W69:W112">IF(T69&lt;&gt;"",T69-J69,"")</f>
      </c>
      <c r="X69" s="126">
        <f aca="true" t="shared" si="20" ref="X69:X112">IF(V69&lt;&gt;"",IF(V69="勝ち",W69/0.01,0),"")</f>
      </c>
      <c r="Y69" s="137">
        <f t="shared" si="15"/>
      </c>
      <c r="Z69" s="125">
        <f t="shared" si="16"/>
      </c>
    </row>
    <row r="70" spans="1:26" ht="13.5" customHeight="1">
      <c r="A70" s="125">
        <f t="shared" si="17"/>
      </c>
      <c r="B70" s="125">
        <f t="shared" si="18"/>
      </c>
      <c r="C70" s="129">
        <f>'ルール＆合計'!$F$3</f>
        <v>0.02</v>
      </c>
      <c r="D70" s="128" t="e">
        <f t="shared" si="11"/>
        <v>#VALUE!</v>
      </c>
      <c r="N70" s="125">
        <f t="shared" si="12"/>
      </c>
      <c r="P70" s="125">
        <f t="shared" si="13"/>
      </c>
      <c r="V70" s="125">
        <f t="shared" si="14"/>
      </c>
      <c r="W70" s="125">
        <f t="shared" si="19"/>
      </c>
      <c r="X70" s="126">
        <f t="shared" si="20"/>
      </c>
      <c r="Y70" s="137">
        <f t="shared" si="15"/>
      </c>
      <c r="Z70" s="125">
        <f t="shared" si="16"/>
      </c>
    </row>
    <row r="71" spans="1:26" ht="13.5" customHeight="1">
      <c r="A71" s="125">
        <f t="shared" si="17"/>
      </c>
      <c r="B71" s="125">
        <f t="shared" si="18"/>
      </c>
      <c r="C71" s="129">
        <f>'ルール＆合計'!$F$3</f>
        <v>0.02</v>
      </c>
      <c r="D71" s="128" t="e">
        <f t="shared" si="11"/>
        <v>#VALUE!</v>
      </c>
      <c r="N71" s="125">
        <f t="shared" si="12"/>
      </c>
      <c r="P71" s="125">
        <f t="shared" si="13"/>
      </c>
      <c r="V71" s="125">
        <f t="shared" si="14"/>
      </c>
      <c r="W71" s="125">
        <f t="shared" si="19"/>
      </c>
      <c r="X71" s="126">
        <f t="shared" si="20"/>
      </c>
      <c r="Y71" s="137">
        <f t="shared" si="15"/>
      </c>
      <c r="Z71" s="125">
        <f t="shared" si="16"/>
      </c>
    </row>
    <row r="72" spans="1:26" ht="13.5" customHeight="1">
      <c r="A72" s="125">
        <f t="shared" si="17"/>
      </c>
      <c r="B72" s="125">
        <f t="shared" si="18"/>
      </c>
      <c r="C72" s="129">
        <f>'ルール＆合計'!$F$3</f>
        <v>0.02</v>
      </c>
      <c r="D72" s="128" t="e">
        <f t="shared" si="11"/>
        <v>#VALUE!</v>
      </c>
      <c r="N72" s="125">
        <f t="shared" si="12"/>
      </c>
      <c r="P72" s="125">
        <f t="shared" si="13"/>
      </c>
      <c r="V72" s="125">
        <f t="shared" si="14"/>
      </c>
      <c r="W72" s="125">
        <f t="shared" si="19"/>
      </c>
      <c r="X72" s="126">
        <f t="shared" si="20"/>
      </c>
      <c r="Y72" s="137">
        <f t="shared" si="15"/>
      </c>
      <c r="Z72" s="125">
        <f t="shared" si="16"/>
      </c>
    </row>
    <row r="73" spans="1:26" ht="13.5" customHeight="1">
      <c r="A73" s="125">
        <f t="shared" si="17"/>
      </c>
      <c r="B73" s="125">
        <f t="shared" si="18"/>
      </c>
      <c r="C73" s="129">
        <f>'ルール＆合計'!$F$3</f>
        <v>0.02</v>
      </c>
      <c r="D73" s="128" t="e">
        <f t="shared" si="11"/>
        <v>#VALUE!</v>
      </c>
      <c r="N73" s="125">
        <f t="shared" si="12"/>
      </c>
      <c r="P73" s="125">
        <f t="shared" si="13"/>
      </c>
      <c r="V73" s="125">
        <f t="shared" si="14"/>
      </c>
      <c r="W73" s="125">
        <f t="shared" si="19"/>
      </c>
      <c r="X73" s="126">
        <f t="shared" si="20"/>
      </c>
      <c r="Y73" s="137">
        <f t="shared" si="15"/>
      </c>
      <c r="Z73" s="125">
        <f t="shared" si="16"/>
      </c>
    </row>
    <row r="74" spans="1:26" ht="13.5" customHeight="1">
      <c r="A74" s="125">
        <f t="shared" si="17"/>
      </c>
      <c r="B74" s="125">
        <f t="shared" si="18"/>
      </c>
      <c r="C74" s="129">
        <f>'ルール＆合計'!$F$3</f>
        <v>0.02</v>
      </c>
      <c r="D74" s="128" t="e">
        <f t="shared" si="11"/>
        <v>#VALUE!</v>
      </c>
      <c r="N74" s="125">
        <f t="shared" si="12"/>
      </c>
      <c r="P74" s="125">
        <f t="shared" si="13"/>
      </c>
      <c r="V74" s="125">
        <f t="shared" si="14"/>
      </c>
      <c r="W74" s="125">
        <f t="shared" si="19"/>
      </c>
      <c r="X74" s="126">
        <f t="shared" si="20"/>
      </c>
      <c r="Y74" s="137">
        <f t="shared" si="15"/>
      </c>
      <c r="Z74" s="125">
        <f t="shared" si="16"/>
      </c>
    </row>
    <row r="75" spans="1:26" ht="13.5" customHeight="1">
      <c r="A75" s="125">
        <f t="shared" si="17"/>
      </c>
      <c r="B75" s="125">
        <f t="shared" si="18"/>
      </c>
      <c r="C75" s="129">
        <f>'ルール＆合計'!$F$3</f>
        <v>0.02</v>
      </c>
      <c r="D75" s="128" t="e">
        <f t="shared" si="11"/>
        <v>#VALUE!</v>
      </c>
      <c r="N75" s="125">
        <f t="shared" si="12"/>
      </c>
      <c r="P75" s="125">
        <f t="shared" si="13"/>
      </c>
      <c r="V75" s="125">
        <f t="shared" si="14"/>
      </c>
      <c r="W75" s="125">
        <f t="shared" si="19"/>
      </c>
      <c r="X75" s="126">
        <f t="shared" si="20"/>
      </c>
      <c r="Y75" s="137">
        <f t="shared" si="15"/>
      </c>
      <c r="Z75" s="125">
        <f t="shared" si="16"/>
      </c>
    </row>
    <row r="76" spans="1:26" ht="13.5" customHeight="1">
      <c r="A76" s="125">
        <f t="shared" si="17"/>
      </c>
      <c r="B76" s="125">
        <f t="shared" si="18"/>
      </c>
      <c r="C76" s="129">
        <f>'ルール＆合計'!$F$3</f>
        <v>0.02</v>
      </c>
      <c r="D76" s="128" t="e">
        <f t="shared" si="11"/>
        <v>#VALUE!</v>
      </c>
      <c r="N76" s="125">
        <f t="shared" si="12"/>
      </c>
      <c r="P76" s="125">
        <f t="shared" si="13"/>
      </c>
      <c r="V76" s="125">
        <f t="shared" si="14"/>
      </c>
      <c r="W76" s="125">
        <f t="shared" si="19"/>
      </c>
      <c r="X76" s="126">
        <f t="shared" si="20"/>
      </c>
      <c r="Y76" s="137">
        <f t="shared" si="15"/>
      </c>
      <c r="Z76" s="125">
        <f t="shared" si="16"/>
      </c>
    </row>
    <row r="77" spans="1:26" ht="13.5" customHeight="1">
      <c r="A77" s="125">
        <f t="shared" si="17"/>
      </c>
      <c r="B77" s="125">
        <f t="shared" si="18"/>
      </c>
      <c r="C77" s="129">
        <f>'ルール＆合計'!$F$3</f>
        <v>0.02</v>
      </c>
      <c r="D77" s="128" t="e">
        <f t="shared" si="11"/>
        <v>#VALUE!</v>
      </c>
      <c r="N77" s="125">
        <f t="shared" si="12"/>
      </c>
      <c r="P77" s="125">
        <f t="shared" si="13"/>
      </c>
      <c r="V77" s="125">
        <f t="shared" si="14"/>
      </c>
      <c r="W77" s="125">
        <f t="shared" si="19"/>
      </c>
      <c r="X77" s="126">
        <f t="shared" si="20"/>
      </c>
      <c r="Y77" s="137">
        <f t="shared" si="15"/>
      </c>
      <c r="Z77" s="125">
        <f t="shared" si="16"/>
      </c>
    </row>
    <row r="78" spans="1:26" ht="13.5" customHeight="1">
      <c r="A78" s="125">
        <f t="shared" si="17"/>
      </c>
      <c r="B78" s="125">
        <f t="shared" si="18"/>
      </c>
      <c r="C78" s="129">
        <f>'ルール＆合計'!$F$3</f>
        <v>0.02</v>
      </c>
      <c r="D78" s="128" t="e">
        <f t="shared" si="11"/>
        <v>#VALUE!</v>
      </c>
      <c r="N78" s="125">
        <f t="shared" si="12"/>
      </c>
      <c r="P78" s="125">
        <f t="shared" si="13"/>
      </c>
      <c r="V78" s="125">
        <f t="shared" si="14"/>
      </c>
      <c r="W78" s="125">
        <f t="shared" si="19"/>
      </c>
      <c r="X78" s="126">
        <f t="shared" si="20"/>
      </c>
      <c r="Y78" s="137">
        <f t="shared" si="15"/>
      </c>
      <c r="Z78" s="125">
        <f t="shared" si="16"/>
      </c>
    </row>
    <row r="79" spans="1:26" ht="13.5" customHeight="1">
      <c r="A79" s="125">
        <f t="shared" si="17"/>
      </c>
      <c r="B79" s="125">
        <f t="shared" si="18"/>
      </c>
      <c r="C79" s="129">
        <f>'ルール＆合計'!$F$3</f>
        <v>0.02</v>
      </c>
      <c r="D79" s="128" t="e">
        <f t="shared" si="11"/>
        <v>#VALUE!</v>
      </c>
      <c r="N79" s="125">
        <f t="shared" si="12"/>
      </c>
      <c r="P79" s="125">
        <f t="shared" si="13"/>
      </c>
      <c r="V79" s="125">
        <f t="shared" si="14"/>
      </c>
      <c r="W79" s="125">
        <f t="shared" si="19"/>
      </c>
      <c r="X79" s="126">
        <f t="shared" si="20"/>
      </c>
      <c r="Y79" s="137">
        <f t="shared" si="15"/>
      </c>
      <c r="Z79" s="125">
        <f t="shared" si="16"/>
      </c>
    </row>
    <row r="80" spans="1:26" ht="13.5" customHeight="1">
      <c r="A80" s="125">
        <f t="shared" si="17"/>
      </c>
      <c r="B80" s="125">
        <f t="shared" si="18"/>
      </c>
      <c r="C80" s="129">
        <f>'ルール＆合計'!$F$3</f>
        <v>0.02</v>
      </c>
      <c r="D80" s="128" t="e">
        <f t="shared" si="11"/>
        <v>#VALUE!</v>
      </c>
      <c r="N80" s="125">
        <f t="shared" si="12"/>
      </c>
      <c r="P80" s="125">
        <f t="shared" si="13"/>
      </c>
      <c r="V80" s="125">
        <f t="shared" si="14"/>
      </c>
      <c r="W80" s="125">
        <f t="shared" si="19"/>
      </c>
      <c r="X80" s="126">
        <f t="shared" si="20"/>
      </c>
      <c r="Y80" s="137">
        <f t="shared" si="15"/>
      </c>
      <c r="Z80" s="125">
        <f t="shared" si="16"/>
      </c>
    </row>
    <row r="81" spans="1:26" ht="13.5" customHeight="1">
      <c r="A81" s="125">
        <f t="shared" si="17"/>
      </c>
      <c r="B81" s="125">
        <f t="shared" si="18"/>
      </c>
      <c r="C81" s="129">
        <f>'ルール＆合計'!$F$3</f>
        <v>0.02</v>
      </c>
      <c r="D81" s="128" t="e">
        <f t="shared" si="11"/>
        <v>#VALUE!</v>
      </c>
      <c r="N81" s="125">
        <f t="shared" si="12"/>
      </c>
      <c r="P81" s="125">
        <f t="shared" si="13"/>
      </c>
      <c r="V81" s="125">
        <f t="shared" si="14"/>
      </c>
      <c r="W81" s="125">
        <f t="shared" si="19"/>
      </c>
      <c r="X81" s="126">
        <f t="shared" si="20"/>
      </c>
      <c r="Y81" s="137">
        <f t="shared" si="15"/>
      </c>
      <c r="Z81" s="125">
        <f t="shared" si="16"/>
      </c>
    </row>
    <row r="82" spans="1:26" ht="13.5" customHeight="1">
      <c r="A82" s="125">
        <f t="shared" si="17"/>
      </c>
      <c r="B82" s="125">
        <f t="shared" si="18"/>
      </c>
      <c r="C82" s="129">
        <f>'ルール＆合計'!$F$3</f>
        <v>0.02</v>
      </c>
      <c r="D82" s="128" t="e">
        <f t="shared" si="11"/>
        <v>#VALUE!</v>
      </c>
      <c r="N82" s="125">
        <f t="shared" si="12"/>
      </c>
      <c r="P82" s="125">
        <f t="shared" si="13"/>
      </c>
      <c r="V82" s="125">
        <f t="shared" si="14"/>
      </c>
      <c r="W82" s="125">
        <f t="shared" si="19"/>
      </c>
      <c r="X82" s="126">
        <f t="shared" si="20"/>
      </c>
      <c r="Y82" s="137">
        <f t="shared" si="15"/>
      </c>
      <c r="Z82" s="125">
        <f t="shared" si="16"/>
      </c>
    </row>
    <row r="83" spans="1:26" ht="13.5" customHeight="1">
      <c r="A83" s="125">
        <f t="shared" si="17"/>
      </c>
      <c r="B83" s="125">
        <f t="shared" si="18"/>
      </c>
      <c r="C83" s="129">
        <f>'ルール＆合計'!$F$3</f>
        <v>0.02</v>
      </c>
      <c r="D83" s="128" t="e">
        <f t="shared" si="11"/>
        <v>#VALUE!</v>
      </c>
      <c r="N83" s="125">
        <f t="shared" si="12"/>
      </c>
      <c r="P83" s="125">
        <f t="shared" si="13"/>
      </c>
      <c r="V83" s="125">
        <f t="shared" si="14"/>
      </c>
      <c r="W83" s="125">
        <f t="shared" si="19"/>
      </c>
      <c r="X83" s="126">
        <f t="shared" si="20"/>
      </c>
      <c r="Y83" s="137">
        <f t="shared" si="15"/>
      </c>
      <c r="Z83" s="125">
        <f t="shared" si="16"/>
      </c>
    </row>
    <row r="84" spans="1:26" ht="13.5" customHeight="1">
      <c r="A84" s="125">
        <f t="shared" si="17"/>
      </c>
      <c r="B84" s="125">
        <f t="shared" si="18"/>
      </c>
      <c r="C84" s="129">
        <f>'ルール＆合計'!$F$3</f>
        <v>0.02</v>
      </c>
      <c r="D84" s="128" t="e">
        <f t="shared" si="11"/>
        <v>#VALUE!</v>
      </c>
      <c r="N84" s="125">
        <f t="shared" si="12"/>
      </c>
      <c r="P84" s="125">
        <f t="shared" si="13"/>
      </c>
      <c r="V84" s="125">
        <f t="shared" si="14"/>
      </c>
      <c r="W84" s="125">
        <f t="shared" si="19"/>
      </c>
      <c r="X84" s="126">
        <f t="shared" si="20"/>
      </c>
      <c r="Y84" s="137">
        <f t="shared" si="15"/>
      </c>
      <c r="Z84" s="125">
        <f t="shared" si="16"/>
      </c>
    </row>
    <row r="85" spans="1:26" ht="13.5" customHeight="1">
      <c r="A85" s="125">
        <f t="shared" si="17"/>
      </c>
      <c r="B85" s="125">
        <f t="shared" si="18"/>
      </c>
      <c r="C85" s="129">
        <f>'ルール＆合計'!$F$3</f>
        <v>0.02</v>
      </c>
      <c r="D85" s="128" t="e">
        <f t="shared" si="11"/>
        <v>#VALUE!</v>
      </c>
      <c r="N85" s="125">
        <f t="shared" si="12"/>
      </c>
      <c r="P85" s="125">
        <f t="shared" si="13"/>
      </c>
      <c r="V85" s="125">
        <f t="shared" si="14"/>
      </c>
      <c r="W85" s="125">
        <f t="shared" si="19"/>
      </c>
      <c r="X85" s="126">
        <f t="shared" si="20"/>
      </c>
      <c r="Y85" s="137">
        <f t="shared" si="15"/>
      </c>
      <c r="Z85" s="125">
        <f t="shared" si="16"/>
      </c>
    </row>
    <row r="86" spans="1:26" ht="13.5" customHeight="1">
      <c r="A86" s="125">
        <f t="shared" si="17"/>
      </c>
      <c r="B86" s="125">
        <f t="shared" si="18"/>
      </c>
      <c r="C86" s="129">
        <f>'ルール＆合計'!$F$3</f>
        <v>0.02</v>
      </c>
      <c r="D86" s="128" t="e">
        <f t="shared" si="11"/>
        <v>#VALUE!</v>
      </c>
      <c r="N86" s="125">
        <f t="shared" si="12"/>
      </c>
      <c r="P86" s="125">
        <f t="shared" si="13"/>
      </c>
      <c r="V86" s="125">
        <f t="shared" si="14"/>
      </c>
      <c r="W86" s="125">
        <f t="shared" si="19"/>
      </c>
      <c r="X86" s="126">
        <f t="shared" si="20"/>
      </c>
      <c r="Y86" s="137">
        <f t="shared" si="15"/>
      </c>
      <c r="Z86" s="125">
        <f t="shared" si="16"/>
      </c>
    </row>
    <row r="87" spans="1:26" ht="13.5" customHeight="1">
      <c r="A87" s="125">
        <f t="shared" si="17"/>
      </c>
      <c r="B87" s="125">
        <f t="shared" si="18"/>
      </c>
      <c r="C87" s="129">
        <f>'ルール＆合計'!$F$3</f>
        <v>0.02</v>
      </c>
      <c r="D87" s="128" t="e">
        <f t="shared" si="11"/>
        <v>#VALUE!</v>
      </c>
      <c r="N87" s="125">
        <f t="shared" si="12"/>
      </c>
      <c r="P87" s="125">
        <f t="shared" si="13"/>
      </c>
      <c r="V87" s="125">
        <f t="shared" si="14"/>
      </c>
      <c r="W87" s="125">
        <f t="shared" si="19"/>
      </c>
      <c r="X87" s="126">
        <f t="shared" si="20"/>
      </c>
      <c r="Y87" s="137">
        <f t="shared" si="15"/>
      </c>
      <c r="Z87" s="125">
        <f t="shared" si="16"/>
      </c>
    </row>
    <row r="88" spans="1:26" ht="13.5" customHeight="1">
      <c r="A88" s="125">
        <f t="shared" si="17"/>
      </c>
      <c r="B88" s="125">
        <f t="shared" si="18"/>
      </c>
      <c r="C88" s="129">
        <f>'ルール＆合計'!$F$3</f>
        <v>0.02</v>
      </c>
      <c r="D88" s="128" t="e">
        <f t="shared" si="11"/>
        <v>#VALUE!</v>
      </c>
      <c r="N88" s="125">
        <f t="shared" si="12"/>
      </c>
      <c r="P88" s="125">
        <f t="shared" si="13"/>
      </c>
      <c r="V88" s="125">
        <f t="shared" si="14"/>
      </c>
      <c r="W88" s="125">
        <f t="shared" si="19"/>
      </c>
      <c r="X88" s="126">
        <f t="shared" si="20"/>
      </c>
      <c r="Y88" s="137">
        <f t="shared" si="15"/>
      </c>
      <c r="Z88" s="125">
        <f t="shared" si="16"/>
      </c>
    </row>
    <row r="89" spans="1:26" ht="13.5" customHeight="1">
      <c r="A89" s="125">
        <f t="shared" si="17"/>
      </c>
      <c r="B89" s="125">
        <f t="shared" si="18"/>
      </c>
      <c r="C89" s="129">
        <f>'ルール＆合計'!$F$3</f>
        <v>0.02</v>
      </c>
      <c r="D89" s="128" t="e">
        <f t="shared" si="11"/>
        <v>#VALUE!</v>
      </c>
      <c r="N89" s="125">
        <f t="shared" si="12"/>
      </c>
      <c r="P89" s="125">
        <f t="shared" si="13"/>
      </c>
      <c r="V89" s="125">
        <f t="shared" si="14"/>
      </c>
      <c r="W89" s="125">
        <f t="shared" si="19"/>
      </c>
      <c r="X89" s="126">
        <f t="shared" si="20"/>
      </c>
      <c r="Y89" s="137">
        <f t="shared" si="15"/>
      </c>
      <c r="Z89" s="125">
        <f t="shared" si="16"/>
      </c>
    </row>
    <row r="90" spans="1:26" ht="13.5" customHeight="1">
      <c r="A90" s="125">
        <f t="shared" si="17"/>
      </c>
      <c r="B90" s="125">
        <f t="shared" si="18"/>
      </c>
      <c r="C90" s="129">
        <f>'ルール＆合計'!$F$3</f>
        <v>0.02</v>
      </c>
      <c r="D90" s="128" t="e">
        <f t="shared" si="11"/>
        <v>#VALUE!</v>
      </c>
      <c r="N90" s="125">
        <f t="shared" si="12"/>
      </c>
      <c r="P90" s="125">
        <f t="shared" si="13"/>
      </c>
      <c r="V90" s="125">
        <f t="shared" si="14"/>
      </c>
      <c r="W90" s="125">
        <f t="shared" si="19"/>
      </c>
      <c r="X90" s="126">
        <f t="shared" si="20"/>
      </c>
      <c r="Y90" s="137">
        <f t="shared" si="15"/>
      </c>
      <c r="Z90" s="125">
        <f t="shared" si="16"/>
      </c>
    </row>
    <row r="91" spans="1:26" ht="13.5" customHeight="1">
      <c r="A91" s="125">
        <f t="shared" si="17"/>
      </c>
      <c r="B91" s="125">
        <f t="shared" si="18"/>
      </c>
      <c r="C91" s="129">
        <f>'ルール＆合計'!$F$3</f>
        <v>0.02</v>
      </c>
      <c r="D91" s="128" t="e">
        <f t="shared" si="11"/>
        <v>#VALUE!</v>
      </c>
      <c r="N91" s="125">
        <f t="shared" si="12"/>
      </c>
      <c r="P91" s="125">
        <f t="shared" si="13"/>
      </c>
      <c r="V91" s="125">
        <f t="shared" si="14"/>
      </c>
      <c r="W91" s="125">
        <f t="shared" si="19"/>
      </c>
      <c r="X91" s="126">
        <f t="shared" si="20"/>
      </c>
      <c r="Y91" s="137">
        <f t="shared" si="15"/>
      </c>
      <c r="Z91" s="125">
        <f t="shared" si="16"/>
      </c>
    </row>
    <row r="92" spans="1:26" ht="13.5" customHeight="1">
      <c r="A92" s="125">
        <f t="shared" si="17"/>
      </c>
      <c r="B92" s="125">
        <f t="shared" si="18"/>
      </c>
      <c r="C92" s="129">
        <f>'ルール＆合計'!$F$3</f>
        <v>0.02</v>
      </c>
      <c r="D92" s="128" t="e">
        <f t="shared" si="11"/>
        <v>#VALUE!</v>
      </c>
      <c r="N92" s="125">
        <f t="shared" si="12"/>
      </c>
      <c r="P92" s="125">
        <f t="shared" si="13"/>
      </c>
      <c r="V92" s="125">
        <f t="shared" si="14"/>
      </c>
      <c r="W92" s="125">
        <f t="shared" si="19"/>
      </c>
      <c r="X92" s="126">
        <f t="shared" si="20"/>
      </c>
      <c r="Y92" s="137">
        <f t="shared" si="15"/>
      </c>
      <c r="Z92" s="125">
        <f t="shared" si="16"/>
      </c>
    </row>
    <row r="93" spans="1:26" ht="13.5" customHeight="1">
      <c r="A93" s="125">
        <f t="shared" si="17"/>
      </c>
      <c r="B93" s="125">
        <f t="shared" si="18"/>
      </c>
      <c r="C93" s="129">
        <f>'ルール＆合計'!$F$3</f>
        <v>0.02</v>
      </c>
      <c r="D93" s="128" t="e">
        <f t="shared" si="11"/>
        <v>#VALUE!</v>
      </c>
      <c r="N93" s="125">
        <f t="shared" si="12"/>
      </c>
      <c r="P93" s="125">
        <f t="shared" si="13"/>
      </c>
      <c r="V93" s="125">
        <f t="shared" si="14"/>
      </c>
      <c r="W93" s="125">
        <f t="shared" si="19"/>
      </c>
      <c r="X93" s="126">
        <f t="shared" si="20"/>
      </c>
      <c r="Y93" s="137">
        <f t="shared" si="15"/>
      </c>
      <c r="Z93" s="125">
        <f t="shared" si="16"/>
      </c>
    </row>
    <row r="94" spans="1:26" ht="13.5" customHeight="1">
      <c r="A94" s="125">
        <f t="shared" si="17"/>
      </c>
      <c r="B94" s="125">
        <f t="shared" si="18"/>
      </c>
      <c r="C94" s="129">
        <f>'ルール＆合計'!$F$3</f>
        <v>0.02</v>
      </c>
      <c r="D94" s="128" t="e">
        <f t="shared" si="11"/>
        <v>#VALUE!</v>
      </c>
      <c r="N94" s="125">
        <f t="shared" si="12"/>
      </c>
      <c r="P94" s="125">
        <f t="shared" si="13"/>
      </c>
      <c r="V94" s="125">
        <f t="shared" si="14"/>
      </c>
      <c r="W94" s="125">
        <f t="shared" si="19"/>
      </c>
      <c r="X94" s="126">
        <f t="shared" si="20"/>
      </c>
      <c r="Y94" s="137">
        <f t="shared" si="15"/>
      </c>
      <c r="Z94" s="125">
        <f t="shared" si="16"/>
      </c>
    </row>
    <row r="95" spans="1:26" ht="13.5" customHeight="1">
      <c r="A95" s="125">
        <f t="shared" si="17"/>
      </c>
      <c r="B95" s="125">
        <f t="shared" si="18"/>
      </c>
      <c r="C95" s="129">
        <f>'ルール＆合計'!$F$3</f>
        <v>0.02</v>
      </c>
      <c r="D95" s="128" t="e">
        <f t="shared" si="11"/>
        <v>#VALUE!</v>
      </c>
      <c r="N95" s="125">
        <f t="shared" si="12"/>
      </c>
      <c r="P95" s="125">
        <f t="shared" si="13"/>
      </c>
      <c r="V95" s="125">
        <f t="shared" si="14"/>
      </c>
      <c r="W95" s="125">
        <f t="shared" si="19"/>
      </c>
      <c r="X95" s="126">
        <f t="shared" si="20"/>
      </c>
      <c r="Y95" s="137">
        <f t="shared" si="15"/>
      </c>
      <c r="Z95" s="125">
        <f t="shared" si="16"/>
      </c>
    </row>
    <row r="96" spans="1:26" ht="13.5" customHeight="1">
      <c r="A96" s="125">
        <f t="shared" si="17"/>
      </c>
      <c r="B96" s="125">
        <f t="shared" si="18"/>
      </c>
      <c r="C96" s="129">
        <f>'ルール＆合計'!$F$3</f>
        <v>0.02</v>
      </c>
      <c r="D96" s="128" t="e">
        <f t="shared" si="11"/>
        <v>#VALUE!</v>
      </c>
      <c r="N96" s="125">
        <f t="shared" si="12"/>
      </c>
      <c r="P96" s="125">
        <f t="shared" si="13"/>
      </c>
      <c r="V96" s="125">
        <f t="shared" si="14"/>
      </c>
      <c r="W96" s="125">
        <f t="shared" si="19"/>
      </c>
      <c r="X96" s="126">
        <f t="shared" si="20"/>
      </c>
      <c r="Y96" s="137">
        <f t="shared" si="15"/>
      </c>
      <c r="Z96" s="125">
        <f t="shared" si="16"/>
      </c>
    </row>
    <row r="97" spans="1:26" ht="13.5" customHeight="1">
      <c r="A97" s="125">
        <f t="shared" si="17"/>
      </c>
      <c r="B97" s="125">
        <f t="shared" si="18"/>
      </c>
      <c r="C97" s="129">
        <f>'ルール＆合計'!$F$3</f>
        <v>0.02</v>
      </c>
      <c r="D97" s="128" t="e">
        <f t="shared" si="11"/>
        <v>#VALUE!</v>
      </c>
      <c r="N97" s="125">
        <f t="shared" si="12"/>
      </c>
      <c r="P97" s="125">
        <f t="shared" si="13"/>
      </c>
      <c r="V97" s="125">
        <f t="shared" si="14"/>
      </c>
      <c r="W97" s="125">
        <f t="shared" si="19"/>
      </c>
      <c r="X97" s="126">
        <f t="shared" si="20"/>
      </c>
      <c r="Y97" s="137">
        <f t="shared" si="15"/>
      </c>
      <c r="Z97" s="125">
        <f t="shared" si="16"/>
      </c>
    </row>
    <row r="98" spans="1:26" ht="13.5" customHeight="1">
      <c r="A98" s="125">
        <f t="shared" si="17"/>
      </c>
      <c r="B98" s="125">
        <f t="shared" si="18"/>
      </c>
      <c r="C98" s="129">
        <f>'ルール＆合計'!$F$3</f>
        <v>0.02</v>
      </c>
      <c r="D98" s="128" t="e">
        <f t="shared" si="11"/>
        <v>#VALUE!</v>
      </c>
      <c r="N98" s="125">
        <f t="shared" si="12"/>
      </c>
      <c r="P98" s="125">
        <f t="shared" si="13"/>
      </c>
      <c r="V98" s="125">
        <f t="shared" si="14"/>
      </c>
      <c r="W98" s="125">
        <f t="shared" si="19"/>
      </c>
      <c r="X98" s="126">
        <f t="shared" si="20"/>
      </c>
      <c r="Y98" s="137">
        <f t="shared" si="15"/>
      </c>
      <c r="Z98" s="125">
        <f t="shared" si="16"/>
      </c>
    </row>
    <row r="99" spans="1:26" ht="13.5" customHeight="1">
      <c r="A99" s="125">
        <f t="shared" si="17"/>
      </c>
      <c r="B99" s="125">
        <f t="shared" si="18"/>
      </c>
      <c r="C99" s="129">
        <f>'ルール＆合計'!$F$3</f>
        <v>0.02</v>
      </c>
      <c r="D99" s="128" t="e">
        <f t="shared" si="11"/>
        <v>#VALUE!</v>
      </c>
      <c r="N99" s="125">
        <f t="shared" si="12"/>
      </c>
      <c r="P99" s="125">
        <f t="shared" si="13"/>
      </c>
      <c r="V99" s="125">
        <f t="shared" si="14"/>
      </c>
      <c r="W99" s="125">
        <f t="shared" si="19"/>
      </c>
      <c r="X99" s="126">
        <f t="shared" si="20"/>
      </c>
      <c r="Y99" s="137">
        <f t="shared" si="15"/>
      </c>
      <c r="Z99" s="125">
        <f t="shared" si="16"/>
      </c>
    </row>
    <row r="100" spans="1:26" ht="13.5" customHeight="1">
      <c r="A100" s="125">
        <f t="shared" si="17"/>
      </c>
      <c r="B100" s="125">
        <f t="shared" si="18"/>
      </c>
      <c r="C100" s="129">
        <f>'ルール＆合計'!$F$3</f>
        <v>0.02</v>
      </c>
      <c r="D100" s="128" t="e">
        <f t="shared" si="11"/>
        <v>#VALUE!</v>
      </c>
      <c r="N100" s="125">
        <f t="shared" si="12"/>
      </c>
      <c r="P100" s="125">
        <f t="shared" si="13"/>
      </c>
      <c r="V100" s="125">
        <f t="shared" si="14"/>
      </c>
      <c r="W100" s="125">
        <f t="shared" si="19"/>
      </c>
      <c r="X100" s="126">
        <f t="shared" si="20"/>
      </c>
      <c r="Y100" s="137">
        <f t="shared" si="15"/>
      </c>
      <c r="Z100" s="125">
        <f t="shared" si="16"/>
      </c>
    </row>
    <row r="101" spans="1:26" ht="13.5" customHeight="1">
      <c r="A101" s="125">
        <f t="shared" si="17"/>
      </c>
      <c r="B101" s="125">
        <f t="shared" si="18"/>
      </c>
      <c r="C101" s="129">
        <f>'ルール＆合計'!$F$3</f>
        <v>0.02</v>
      </c>
      <c r="D101" s="128" t="e">
        <f t="shared" si="11"/>
        <v>#VALUE!</v>
      </c>
      <c r="N101" s="125">
        <f t="shared" si="12"/>
      </c>
      <c r="P101" s="125">
        <f t="shared" si="13"/>
      </c>
      <c r="V101" s="125">
        <f t="shared" si="14"/>
      </c>
      <c r="W101" s="125">
        <f t="shared" si="19"/>
      </c>
      <c r="X101" s="126">
        <f t="shared" si="20"/>
      </c>
      <c r="Y101" s="137">
        <f t="shared" si="15"/>
      </c>
      <c r="Z101" s="125">
        <f t="shared" si="16"/>
      </c>
    </row>
    <row r="102" spans="1:26" ht="13.5" customHeight="1">
      <c r="A102" s="125">
        <f t="shared" si="17"/>
      </c>
      <c r="B102" s="125">
        <f t="shared" si="18"/>
      </c>
      <c r="C102" s="129">
        <f>'ルール＆合計'!$F$3</f>
        <v>0.02</v>
      </c>
      <c r="D102" s="128" t="e">
        <f t="shared" si="11"/>
        <v>#VALUE!</v>
      </c>
      <c r="N102" s="125">
        <f t="shared" si="12"/>
      </c>
      <c r="P102" s="125">
        <f t="shared" si="13"/>
      </c>
      <c r="V102" s="125">
        <f t="shared" si="14"/>
      </c>
      <c r="W102" s="125">
        <f t="shared" si="19"/>
      </c>
      <c r="X102" s="126">
        <f t="shared" si="20"/>
      </c>
      <c r="Y102" s="137">
        <f t="shared" si="15"/>
      </c>
      <c r="Z102" s="125">
        <f t="shared" si="16"/>
      </c>
    </row>
    <row r="103" spans="1:26" ht="13.5" customHeight="1">
      <c r="A103" s="125">
        <f t="shared" si="17"/>
      </c>
      <c r="B103" s="125">
        <f t="shared" si="18"/>
      </c>
      <c r="C103" s="129">
        <f>'ルール＆合計'!$F$3</f>
        <v>0.02</v>
      </c>
      <c r="D103" s="128" t="e">
        <f t="shared" si="11"/>
        <v>#VALUE!</v>
      </c>
      <c r="N103" s="125">
        <f t="shared" si="12"/>
      </c>
      <c r="P103" s="125">
        <f t="shared" si="13"/>
      </c>
      <c r="V103" s="125">
        <f t="shared" si="14"/>
      </c>
      <c r="W103" s="125">
        <f t="shared" si="19"/>
      </c>
      <c r="X103" s="126">
        <f t="shared" si="20"/>
      </c>
      <c r="Y103" s="137">
        <f t="shared" si="15"/>
      </c>
      <c r="Z103" s="125">
        <f t="shared" si="16"/>
      </c>
    </row>
    <row r="104" spans="1:26" ht="13.5" customHeight="1">
      <c r="A104" s="125">
        <f t="shared" si="17"/>
      </c>
      <c r="B104" s="125">
        <f t="shared" si="18"/>
      </c>
      <c r="C104" s="129">
        <f>'ルール＆合計'!$F$3</f>
        <v>0.02</v>
      </c>
      <c r="D104" s="128" t="e">
        <f t="shared" si="11"/>
        <v>#VALUE!</v>
      </c>
      <c r="N104" s="125">
        <f t="shared" si="12"/>
      </c>
      <c r="P104" s="125">
        <f t="shared" si="13"/>
      </c>
      <c r="V104" s="125">
        <f t="shared" si="14"/>
      </c>
      <c r="W104" s="125">
        <f t="shared" si="19"/>
      </c>
      <c r="X104" s="126">
        <f t="shared" si="20"/>
      </c>
      <c r="Y104" s="137">
        <f t="shared" si="15"/>
      </c>
      <c r="Z104" s="125">
        <f t="shared" si="16"/>
      </c>
    </row>
    <row r="105" spans="1:26" ht="13.5" customHeight="1">
      <c r="A105" s="125">
        <f t="shared" si="17"/>
      </c>
      <c r="B105" s="125">
        <f t="shared" si="18"/>
      </c>
      <c r="C105" s="129">
        <f>'ルール＆合計'!$F$3</f>
        <v>0.02</v>
      </c>
      <c r="D105" s="128" t="e">
        <f t="shared" si="11"/>
        <v>#VALUE!</v>
      </c>
      <c r="N105" s="125">
        <f t="shared" si="12"/>
      </c>
      <c r="P105" s="125">
        <f t="shared" si="13"/>
      </c>
      <c r="V105" s="125">
        <f t="shared" si="14"/>
      </c>
      <c r="W105" s="125">
        <f t="shared" si="19"/>
      </c>
      <c r="X105" s="126">
        <f t="shared" si="20"/>
      </c>
      <c r="Y105" s="137">
        <f t="shared" si="15"/>
      </c>
      <c r="Z105" s="125">
        <f t="shared" si="16"/>
      </c>
    </row>
    <row r="106" spans="1:26" ht="13.5" customHeight="1">
      <c r="A106" s="125">
        <f t="shared" si="17"/>
      </c>
      <c r="B106" s="125">
        <f t="shared" si="18"/>
      </c>
      <c r="C106" s="129">
        <f>'ルール＆合計'!$F$3</f>
        <v>0.02</v>
      </c>
      <c r="D106" s="128" t="e">
        <f t="shared" si="11"/>
        <v>#VALUE!</v>
      </c>
      <c r="N106" s="125">
        <f t="shared" si="12"/>
      </c>
      <c r="P106" s="125">
        <f t="shared" si="13"/>
      </c>
      <c r="V106" s="125">
        <f t="shared" si="14"/>
      </c>
      <c r="W106" s="125">
        <f t="shared" si="19"/>
      </c>
      <c r="X106" s="126">
        <f t="shared" si="20"/>
      </c>
      <c r="Y106" s="137">
        <f t="shared" si="15"/>
      </c>
      <c r="Z106" s="125">
        <f t="shared" si="16"/>
      </c>
    </row>
    <row r="107" spans="1:26" ht="13.5" customHeight="1">
      <c r="A107" s="125">
        <f t="shared" si="17"/>
      </c>
      <c r="B107" s="125">
        <f t="shared" si="18"/>
      </c>
      <c r="C107" s="129">
        <f>'ルール＆合計'!$F$3</f>
        <v>0.02</v>
      </c>
      <c r="D107" s="128" t="e">
        <f t="shared" si="11"/>
        <v>#VALUE!</v>
      </c>
      <c r="N107" s="125">
        <f t="shared" si="12"/>
      </c>
      <c r="P107" s="125">
        <f t="shared" si="13"/>
      </c>
      <c r="V107" s="125">
        <f t="shared" si="14"/>
      </c>
      <c r="W107" s="125">
        <f t="shared" si="19"/>
      </c>
      <c r="X107" s="126">
        <f t="shared" si="20"/>
      </c>
      <c r="Y107" s="137">
        <f t="shared" si="15"/>
      </c>
      <c r="Z107" s="125">
        <f t="shared" si="16"/>
      </c>
    </row>
    <row r="108" spans="1:26" ht="13.5" customHeight="1">
      <c r="A108" s="125">
        <f t="shared" si="17"/>
      </c>
      <c r="B108" s="125">
        <f t="shared" si="18"/>
      </c>
      <c r="C108" s="129">
        <f>'ルール＆合計'!$F$3</f>
        <v>0.02</v>
      </c>
      <c r="D108" s="128" t="e">
        <f t="shared" si="11"/>
        <v>#VALUE!</v>
      </c>
      <c r="N108" s="125">
        <f t="shared" si="12"/>
      </c>
      <c r="P108" s="125">
        <f t="shared" si="13"/>
      </c>
      <c r="V108" s="125">
        <f t="shared" si="14"/>
      </c>
      <c r="W108" s="125">
        <f t="shared" si="19"/>
      </c>
      <c r="X108" s="126">
        <f t="shared" si="20"/>
      </c>
      <c r="Y108" s="137">
        <f t="shared" si="15"/>
      </c>
      <c r="Z108" s="125">
        <f t="shared" si="16"/>
      </c>
    </row>
    <row r="109" spans="1:26" ht="13.5" customHeight="1">
      <c r="A109" s="125">
        <f t="shared" si="17"/>
      </c>
      <c r="B109" s="125">
        <f t="shared" si="18"/>
      </c>
      <c r="C109" s="129">
        <f>'ルール＆合計'!$F$3</f>
        <v>0.02</v>
      </c>
      <c r="D109" s="128" t="e">
        <f t="shared" si="11"/>
        <v>#VALUE!</v>
      </c>
      <c r="N109" s="125">
        <f t="shared" si="12"/>
      </c>
      <c r="P109" s="125">
        <f t="shared" si="13"/>
      </c>
      <c r="V109" s="125">
        <f t="shared" si="14"/>
      </c>
      <c r="W109" s="125">
        <f t="shared" si="19"/>
      </c>
      <c r="X109" s="126">
        <f t="shared" si="20"/>
      </c>
      <c r="Y109" s="137">
        <f t="shared" si="15"/>
      </c>
      <c r="Z109" s="125">
        <f t="shared" si="16"/>
      </c>
    </row>
    <row r="110" spans="1:26" ht="13.5" customHeight="1">
      <c r="A110" s="125">
        <f t="shared" si="17"/>
      </c>
      <c r="B110" s="125">
        <f t="shared" si="18"/>
      </c>
      <c r="C110" s="129">
        <f>'ルール＆合計'!$F$3</f>
        <v>0.02</v>
      </c>
      <c r="D110" s="128" t="e">
        <f t="shared" si="11"/>
        <v>#VALUE!</v>
      </c>
      <c r="N110" s="125">
        <f t="shared" si="12"/>
      </c>
      <c r="P110" s="125">
        <f t="shared" si="13"/>
      </c>
      <c r="V110" s="125">
        <f t="shared" si="14"/>
      </c>
      <c r="W110" s="125">
        <f t="shared" si="19"/>
      </c>
      <c r="X110" s="126">
        <f t="shared" si="20"/>
      </c>
      <c r="Y110" s="137">
        <f t="shared" si="15"/>
      </c>
      <c r="Z110" s="125">
        <f t="shared" si="16"/>
      </c>
    </row>
    <row r="111" spans="1:26" ht="13.5" customHeight="1">
      <c r="A111" s="125">
        <f t="shared" si="17"/>
      </c>
      <c r="B111" s="125">
        <f t="shared" si="18"/>
      </c>
      <c r="C111" s="129">
        <f>'ルール＆合計'!$F$3</f>
        <v>0.02</v>
      </c>
      <c r="D111" s="128" t="e">
        <f t="shared" si="11"/>
        <v>#VALUE!</v>
      </c>
      <c r="N111" s="125">
        <f t="shared" si="12"/>
      </c>
      <c r="P111" s="125">
        <f t="shared" si="13"/>
      </c>
      <c r="V111" s="125">
        <f t="shared" si="14"/>
      </c>
      <c r="W111" s="125">
        <f t="shared" si="19"/>
      </c>
      <c r="X111" s="126">
        <f t="shared" si="20"/>
      </c>
      <c r="Y111" s="137">
        <f t="shared" si="15"/>
      </c>
      <c r="Z111" s="125">
        <f t="shared" si="16"/>
      </c>
    </row>
    <row r="112" spans="1:26" ht="13.5" customHeight="1">
      <c r="A112" s="125">
        <f t="shared" si="17"/>
      </c>
      <c r="B112" s="125">
        <f t="shared" si="18"/>
      </c>
      <c r="C112" s="129">
        <f>'ルール＆合計'!$F$3</f>
        <v>0.02</v>
      </c>
      <c r="D112" s="128" t="e">
        <f t="shared" si="11"/>
        <v>#VALUE!</v>
      </c>
      <c r="N112" s="125">
        <f t="shared" si="12"/>
      </c>
      <c r="P112" s="125">
        <f t="shared" si="13"/>
      </c>
      <c r="V112" s="125">
        <f t="shared" si="14"/>
      </c>
      <c r="W112" s="125">
        <f t="shared" si="19"/>
      </c>
      <c r="X112" s="126">
        <f t="shared" si="20"/>
      </c>
      <c r="Y112" s="137">
        <f t="shared" si="15"/>
      </c>
      <c r="Z112" s="125">
        <f t="shared" si="16"/>
      </c>
    </row>
  </sheetData>
  <sheetProtection/>
  <mergeCells count="3">
    <mergeCell ref="A1:F1"/>
    <mergeCell ref="G1:Q1"/>
    <mergeCell ref="R1:U1"/>
  </mergeCells>
  <printOptions/>
  <pageMargins left="0.6986111111111111" right="0.6986111111111111" top="0.75" bottom="0.75" header="0.3" footer="0.3"/>
  <pageSetup horizontalDpi="1200" verticalDpi="12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2:AI107"/>
  <sheetViews>
    <sheetView zoomScale="80" zoomScaleNormal="80" zoomScalePageLayoutView="0" workbookViewId="0" topLeftCell="A1">
      <pane xSplit="7" ySplit="7" topLeftCell="H8" activePane="bottomRight" state="frozen"/>
      <selection pane="topLeft" activeCell="A1" sqref="A1"/>
      <selection pane="topRight" activeCell="H1" sqref="H1"/>
      <selection pane="bottomLeft" activeCell="A8" sqref="A8"/>
      <selection pane="bottomRight" activeCell="H8" sqref="H8"/>
    </sheetView>
  </sheetViews>
  <sheetFormatPr defaultColWidth="9.00390625" defaultRowHeight="13.5"/>
  <cols>
    <col min="1" max="1" width="4.125" style="0" customWidth="1"/>
    <col min="2" max="2" width="5.75390625" style="0" customWidth="1"/>
    <col min="3" max="3" width="5.125" style="0" customWidth="1"/>
    <col min="5" max="5" width="5.625" style="0" bestFit="1" customWidth="1"/>
    <col min="6" max="6" width="8.875" style="0" bestFit="1" customWidth="1"/>
    <col min="8" max="8" width="6.00390625" style="0" customWidth="1"/>
  </cols>
  <sheetData>
    <row r="2" ht="13.5">
      <c r="B2" t="s">
        <v>347</v>
      </c>
    </row>
    <row r="3" spans="2:12" ht="67.5" customHeight="1">
      <c r="B3" s="166" t="s">
        <v>352</v>
      </c>
      <c r="C3" s="196" t="s">
        <v>367</v>
      </c>
      <c r="D3" s="196"/>
      <c r="E3" s="196"/>
      <c r="F3" s="196"/>
      <c r="G3" s="196"/>
      <c r="H3" s="165" t="s">
        <v>358</v>
      </c>
      <c r="I3" s="196" t="s">
        <v>364</v>
      </c>
      <c r="J3" s="196"/>
      <c r="K3" s="196"/>
      <c r="L3" s="196"/>
    </row>
    <row r="6" spans="1:35" ht="13.5">
      <c r="A6" s="195" t="s">
        <v>351</v>
      </c>
      <c r="B6" s="195"/>
      <c r="C6" s="195"/>
      <c r="D6" s="195"/>
      <c r="E6" s="195"/>
      <c r="F6" s="195"/>
      <c r="G6" s="195"/>
      <c r="H6" s="200" t="s">
        <v>360</v>
      </c>
      <c r="I6" s="201"/>
      <c r="J6" s="201"/>
      <c r="K6" s="201"/>
      <c r="L6" s="201"/>
      <c r="M6" s="201"/>
      <c r="N6" s="202"/>
      <c r="O6" s="199" t="s">
        <v>361</v>
      </c>
      <c r="P6" s="199"/>
      <c r="Q6" s="199"/>
      <c r="R6" s="199"/>
      <c r="S6" s="199"/>
      <c r="T6" s="199"/>
      <c r="U6" s="199"/>
      <c r="V6" s="198" t="s">
        <v>366</v>
      </c>
      <c r="W6" s="198"/>
      <c r="X6" s="198"/>
      <c r="Y6" s="198"/>
      <c r="Z6" s="198"/>
      <c r="AA6" s="198"/>
      <c r="AB6" s="198"/>
      <c r="AC6" s="197" t="s">
        <v>357</v>
      </c>
      <c r="AD6" s="197"/>
      <c r="AE6" s="197"/>
      <c r="AF6" s="197"/>
      <c r="AG6" s="197"/>
      <c r="AH6" s="197"/>
      <c r="AI6" s="197"/>
    </row>
    <row r="7" spans="1:35" ht="13.5">
      <c r="A7" s="166" t="s">
        <v>348</v>
      </c>
      <c r="B7" s="166" t="s">
        <v>349</v>
      </c>
      <c r="C7" s="166" t="s">
        <v>338</v>
      </c>
      <c r="D7" s="166" t="s">
        <v>313</v>
      </c>
      <c r="E7" s="166" t="s">
        <v>314</v>
      </c>
      <c r="F7" s="166" t="s">
        <v>350</v>
      </c>
      <c r="G7" s="166" t="s">
        <v>82</v>
      </c>
      <c r="H7" s="170" t="s">
        <v>338</v>
      </c>
      <c r="I7" s="170" t="s">
        <v>353</v>
      </c>
      <c r="J7" s="170" t="s">
        <v>314</v>
      </c>
      <c r="K7" s="170" t="s">
        <v>350</v>
      </c>
      <c r="L7" s="170" t="s">
        <v>354</v>
      </c>
      <c r="M7" s="170" t="s">
        <v>355</v>
      </c>
      <c r="N7" s="170" t="s">
        <v>356</v>
      </c>
      <c r="O7" s="169" t="s">
        <v>338</v>
      </c>
      <c r="P7" s="169" t="s">
        <v>353</v>
      </c>
      <c r="Q7" s="169" t="s">
        <v>314</v>
      </c>
      <c r="R7" s="169" t="s">
        <v>350</v>
      </c>
      <c r="S7" s="169" t="s">
        <v>354</v>
      </c>
      <c r="T7" s="169" t="s">
        <v>355</v>
      </c>
      <c r="U7" s="169" t="s">
        <v>356</v>
      </c>
      <c r="V7" s="168" t="s">
        <v>338</v>
      </c>
      <c r="W7" s="168" t="s">
        <v>353</v>
      </c>
      <c r="X7" s="168" t="s">
        <v>314</v>
      </c>
      <c r="Y7" s="168" t="s">
        <v>350</v>
      </c>
      <c r="Z7" s="168" t="s">
        <v>354</v>
      </c>
      <c r="AA7" s="168" t="s">
        <v>355</v>
      </c>
      <c r="AB7" s="168" t="s">
        <v>356</v>
      </c>
      <c r="AC7" s="167" t="s">
        <v>338</v>
      </c>
      <c r="AD7" s="167" t="s">
        <v>353</v>
      </c>
      <c r="AE7" s="167" t="s">
        <v>314</v>
      </c>
      <c r="AF7" s="167" t="s">
        <v>350</v>
      </c>
      <c r="AG7" s="167" t="s">
        <v>354</v>
      </c>
      <c r="AH7" s="167" t="s">
        <v>355</v>
      </c>
      <c r="AI7" s="167" t="s">
        <v>356</v>
      </c>
    </row>
    <row r="8" spans="1:35" ht="13.5">
      <c r="A8" s="164">
        <f>ROW()-7</f>
        <v>1</v>
      </c>
      <c r="B8" s="171" t="str">
        <f>IF(F8&lt;&gt;"",IF(F8-G8&gt;0,"買","売"),"")</f>
        <v>売</v>
      </c>
      <c r="C8" s="164">
        <v>2014</v>
      </c>
      <c r="D8" s="172">
        <v>42010</v>
      </c>
      <c r="E8" s="164">
        <v>16</v>
      </c>
      <c r="F8" s="164">
        <v>103.909</v>
      </c>
      <c r="G8" s="164">
        <v>104.837</v>
      </c>
      <c r="H8" s="164" t="s">
        <v>359</v>
      </c>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row>
    <row r="9" spans="1:35" ht="13.5">
      <c r="A9" s="164">
        <f aca="true" t="shared" si="0" ref="A9:A72">ROW()-7</f>
        <v>2</v>
      </c>
      <c r="B9" s="171" t="str">
        <f aca="true" t="shared" si="1" ref="B9:B72">IF(F9&lt;&gt;"",IF(F9-G9&gt;0,"買","売"),"")</f>
        <v>買</v>
      </c>
      <c r="C9" s="164"/>
      <c r="D9" s="172">
        <v>42011</v>
      </c>
      <c r="E9" s="164">
        <v>20</v>
      </c>
      <c r="F9" s="164">
        <v>104.613</v>
      </c>
      <c r="G9" s="164">
        <v>104.44</v>
      </c>
      <c r="H9" s="164">
        <v>2014</v>
      </c>
      <c r="I9" s="172">
        <v>42012</v>
      </c>
      <c r="J9" s="164">
        <v>0</v>
      </c>
      <c r="K9" s="164">
        <v>104.623</v>
      </c>
      <c r="L9" s="172">
        <v>42013</v>
      </c>
      <c r="M9" s="164">
        <v>4</v>
      </c>
      <c r="N9" s="164">
        <v>104.815</v>
      </c>
      <c r="O9" s="164">
        <v>2014</v>
      </c>
      <c r="P9" s="172">
        <v>42012</v>
      </c>
      <c r="Q9" s="164">
        <v>0</v>
      </c>
      <c r="R9" s="164">
        <v>104.495</v>
      </c>
      <c r="S9" s="172">
        <v>42013</v>
      </c>
      <c r="T9" s="164">
        <v>4</v>
      </c>
      <c r="U9" s="164">
        <v>104.815</v>
      </c>
      <c r="V9" s="164">
        <v>2014</v>
      </c>
      <c r="W9" s="172">
        <v>42012</v>
      </c>
      <c r="X9" s="164">
        <v>0</v>
      </c>
      <c r="Y9" s="164">
        <v>104.495</v>
      </c>
      <c r="Z9" s="172">
        <v>42013</v>
      </c>
      <c r="AA9" s="164">
        <v>4</v>
      </c>
      <c r="AB9" s="164">
        <v>104.815</v>
      </c>
      <c r="AC9" s="164" t="s">
        <v>362</v>
      </c>
      <c r="AD9" s="164"/>
      <c r="AE9" s="164"/>
      <c r="AF9" s="164"/>
      <c r="AG9" s="164"/>
      <c r="AH9" s="164"/>
      <c r="AI9" s="164"/>
    </row>
    <row r="10" spans="1:35" ht="13.5">
      <c r="A10" s="164">
        <f t="shared" si="0"/>
        <v>3</v>
      </c>
      <c r="B10" s="171" t="str">
        <f t="shared" si="1"/>
        <v>買</v>
      </c>
      <c r="C10" s="164"/>
      <c r="D10" s="172">
        <v>42013</v>
      </c>
      <c r="E10" s="164">
        <v>8</v>
      </c>
      <c r="F10" s="164">
        <v>105.056</v>
      </c>
      <c r="G10" s="164">
        <v>104.843</v>
      </c>
      <c r="H10" s="164" t="s">
        <v>362</v>
      </c>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row>
    <row r="11" spans="1:35" ht="13.5">
      <c r="A11" s="164">
        <f t="shared" si="0"/>
        <v>4</v>
      </c>
      <c r="B11" s="171" t="str">
        <f t="shared" si="1"/>
        <v>買</v>
      </c>
      <c r="C11" s="164"/>
      <c r="D11" s="172">
        <v>42013</v>
      </c>
      <c r="E11" s="164">
        <v>20</v>
      </c>
      <c r="F11" s="164">
        <v>104.834</v>
      </c>
      <c r="G11" s="164">
        <v>104.717</v>
      </c>
      <c r="H11" s="164"/>
      <c r="I11" s="172">
        <v>42014</v>
      </c>
      <c r="J11" s="164">
        <v>0</v>
      </c>
      <c r="K11" s="164">
        <v>104.844</v>
      </c>
      <c r="L11" s="172">
        <v>42014</v>
      </c>
      <c r="M11" s="164">
        <v>12</v>
      </c>
      <c r="N11" s="164">
        <v>104.717</v>
      </c>
      <c r="O11" s="164"/>
      <c r="P11" s="172">
        <v>42014</v>
      </c>
      <c r="Q11" s="164">
        <v>8</v>
      </c>
      <c r="R11" s="164">
        <v>104.986</v>
      </c>
      <c r="S11" s="172">
        <v>42014</v>
      </c>
      <c r="T11" s="164">
        <v>12</v>
      </c>
      <c r="U11" s="164">
        <v>104.717</v>
      </c>
      <c r="V11" s="164" t="s">
        <v>362</v>
      </c>
      <c r="W11" s="164"/>
      <c r="X11" s="164"/>
      <c r="Y11" s="164"/>
      <c r="Z11" s="164"/>
      <c r="AA11" s="164"/>
      <c r="AB11" s="164"/>
      <c r="AC11" s="164" t="s">
        <v>362</v>
      </c>
      <c r="AD11" s="164"/>
      <c r="AE11" s="164"/>
      <c r="AF11" s="164"/>
      <c r="AG11" s="164"/>
      <c r="AH11" s="164"/>
      <c r="AI11" s="164"/>
    </row>
    <row r="12" spans="1:35" ht="13.5">
      <c r="A12" s="164">
        <f t="shared" si="0"/>
        <v>5</v>
      </c>
      <c r="B12" s="171" t="str">
        <f t="shared" si="1"/>
        <v>売</v>
      </c>
      <c r="C12" s="164"/>
      <c r="D12" s="172">
        <v>42014</v>
      </c>
      <c r="E12" s="164">
        <v>12</v>
      </c>
      <c r="F12" s="164">
        <v>104.18</v>
      </c>
      <c r="G12" s="164">
        <v>105.311</v>
      </c>
      <c r="H12" s="164"/>
      <c r="I12" s="172">
        <v>42014</v>
      </c>
      <c r="J12" s="164">
        <v>16</v>
      </c>
      <c r="K12" s="164">
        <v>104.17</v>
      </c>
      <c r="L12" s="172">
        <v>42018</v>
      </c>
      <c r="M12" s="164">
        <v>8</v>
      </c>
      <c r="N12" s="164">
        <v>103.571</v>
      </c>
      <c r="O12" s="164"/>
      <c r="P12" s="172">
        <v>42017</v>
      </c>
      <c r="Q12" s="164">
        <v>0</v>
      </c>
      <c r="R12" s="164">
        <v>103.814</v>
      </c>
      <c r="S12" s="172">
        <v>42018</v>
      </c>
      <c r="T12" s="164">
        <v>8</v>
      </c>
      <c r="U12" s="164">
        <v>103.571</v>
      </c>
      <c r="V12" s="164" t="s">
        <v>362</v>
      </c>
      <c r="W12" s="164"/>
      <c r="X12" s="164"/>
      <c r="Y12" s="164"/>
      <c r="Z12" s="164"/>
      <c r="AA12" s="164"/>
      <c r="AB12" s="164"/>
      <c r="AC12" s="164" t="s">
        <v>362</v>
      </c>
      <c r="AD12" s="164"/>
      <c r="AE12" s="164"/>
      <c r="AF12" s="164"/>
      <c r="AG12" s="164"/>
      <c r="AH12" s="164"/>
      <c r="AI12" s="164"/>
    </row>
    <row r="13" spans="1:35" ht="13.5">
      <c r="A13" s="164">
        <f t="shared" si="0"/>
        <v>6</v>
      </c>
      <c r="B13" s="171" t="str">
        <f t="shared" si="1"/>
        <v>買</v>
      </c>
      <c r="C13" s="164"/>
      <c r="D13" s="172">
        <v>42018</v>
      </c>
      <c r="E13" s="164">
        <v>0</v>
      </c>
      <c r="F13" s="164">
        <v>103.459</v>
      </c>
      <c r="G13" s="164">
        <v>102.886</v>
      </c>
      <c r="H13" s="164"/>
      <c r="I13" s="172">
        <v>42018</v>
      </c>
      <c r="J13" s="164">
        <v>4</v>
      </c>
      <c r="K13" s="164">
        <v>103.242</v>
      </c>
      <c r="L13" s="172">
        <v>42020</v>
      </c>
      <c r="M13" s="164">
        <v>12</v>
      </c>
      <c r="N13" s="164">
        <v>104.858</v>
      </c>
      <c r="O13" s="164"/>
      <c r="P13" s="172">
        <v>42018</v>
      </c>
      <c r="Q13" s="164">
        <v>8</v>
      </c>
      <c r="R13" s="164">
        <v>103.571</v>
      </c>
      <c r="S13" s="172">
        <v>42020</v>
      </c>
      <c r="T13" s="164">
        <v>12</v>
      </c>
      <c r="U13" s="164">
        <v>104.858</v>
      </c>
      <c r="V13" s="164" t="s">
        <v>362</v>
      </c>
      <c r="W13" s="164"/>
      <c r="X13" s="164"/>
      <c r="Y13" s="164"/>
      <c r="Z13" s="164"/>
      <c r="AA13" s="164"/>
      <c r="AB13" s="164"/>
      <c r="AC13" s="164" t="s">
        <v>363</v>
      </c>
      <c r="AD13" s="164"/>
      <c r="AE13" s="164"/>
      <c r="AF13" s="164"/>
      <c r="AG13" s="164"/>
      <c r="AH13" s="164"/>
      <c r="AI13" s="164"/>
    </row>
    <row r="14" spans="1:35" ht="13.5">
      <c r="A14" s="164">
        <f t="shared" si="0"/>
        <v>7</v>
      </c>
      <c r="B14" s="171" t="str">
        <f t="shared" si="1"/>
        <v>売</v>
      </c>
      <c r="C14" s="164"/>
      <c r="D14" s="172">
        <v>42020</v>
      </c>
      <c r="E14" s="164">
        <v>12</v>
      </c>
      <c r="F14" s="164">
        <v>104.27</v>
      </c>
      <c r="G14" s="164">
        <v>104.72</v>
      </c>
      <c r="H14" s="164"/>
      <c r="I14" s="172">
        <v>42020</v>
      </c>
      <c r="J14" s="164">
        <v>16</v>
      </c>
      <c r="K14" s="164">
        <v>104.411</v>
      </c>
      <c r="L14" s="172">
        <v>42025</v>
      </c>
      <c r="M14" s="164">
        <v>0</v>
      </c>
      <c r="N14" s="164">
        <v>103.914</v>
      </c>
      <c r="O14" s="164"/>
      <c r="P14" s="172">
        <v>42020</v>
      </c>
      <c r="Q14" s="164">
        <v>16</v>
      </c>
      <c r="R14" s="164">
        <v>104.203</v>
      </c>
      <c r="S14" s="172">
        <v>42025</v>
      </c>
      <c r="T14" s="164">
        <v>0</v>
      </c>
      <c r="U14" s="164">
        <v>103.914</v>
      </c>
      <c r="V14" s="164" t="s">
        <v>362</v>
      </c>
      <c r="W14" s="164"/>
      <c r="X14" s="164"/>
      <c r="Y14" s="164"/>
      <c r="Z14" s="164"/>
      <c r="AA14" s="164"/>
      <c r="AB14" s="164"/>
      <c r="AC14" s="164"/>
      <c r="AD14" s="172">
        <v>42020</v>
      </c>
      <c r="AE14" s="164">
        <v>20</v>
      </c>
      <c r="AF14" s="164">
        <v>104.17</v>
      </c>
      <c r="AG14" s="172">
        <v>42025</v>
      </c>
      <c r="AH14" s="164">
        <v>0</v>
      </c>
      <c r="AI14" s="164">
        <v>103.914</v>
      </c>
    </row>
    <row r="15" spans="1:35" ht="13.5">
      <c r="A15" s="164">
        <f t="shared" si="0"/>
        <v>8</v>
      </c>
      <c r="B15" s="171" t="str">
        <f t="shared" si="1"/>
        <v>売</v>
      </c>
      <c r="C15" s="164"/>
      <c r="D15" s="172">
        <v>42026</v>
      </c>
      <c r="E15" s="164">
        <v>8</v>
      </c>
      <c r="F15" s="164">
        <v>104.229</v>
      </c>
      <c r="G15" s="164">
        <v>104.479</v>
      </c>
      <c r="H15" s="164" t="s">
        <v>365</v>
      </c>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row>
    <row r="16" spans="1:35" ht="13.5">
      <c r="A16" s="164">
        <f t="shared" si="0"/>
        <v>9</v>
      </c>
      <c r="B16" s="171" t="str">
        <f t="shared" si="1"/>
        <v>売</v>
      </c>
      <c r="C16" s="164"/>
      <c r="D16" s="172">
        <v>42027</v>
      </c>
      <c r="E16" s="164">
        <v>4</v>
      </c>
      <c r="F16" s="164">
        <v>104.272</v>
      </c>
      <c r="G16" s="164">
        <v>104.624</v>
      </c>
      <c r="H16" s="164"/>
      <c r="I16" s="172">
        <v>42027</v>
      </c>
      <c r="J16" s="164">
        <v>12</v>
      </c>
      <c r="K16" s="164">
        <v>104.262</v>
      </c>
      <c r="L16" s="172">
        <v>42032</v>
      </c>
      <c r="M16" s="164">
        <v>8</v>
      </c>
      <c r="N16" s="164">
        <v>102.929</v>
      </c>
      <c r="O16" s="164"/>
      <c r="P16" s="172">
        <v>42028</v>
      </c>
      <c r="Q16" s="164">
        <v>8</v>
      </c>
      <c r="R16" s="164">
        <v>102.96</v>
      </c>
      <c r="S16" s="172">
        <v>42032</v>
      </c>
      <c r="T16" s="164">
        <v>8</v>
      </c>
      <c r="U16" s="164">
        <v>102.929</v>
      </c>
      <c r="V16" s="164" t="s">
        <v>362</v>
      </c>
      <c r="W16" s="164"/>
      <c r="X16" s="164"/>
      <c r="Y16" s="164"/>
      <c r="Z16" s="164"/>
      <c r="AA16" s="164"/>
      <c r="AB16" s="164"/>
      <c r="AC16" s="164" t="s">
        <v>368</v>
      </c>
      <c r="AD16" s="164"/>
      <c r="AE16" s="164"/>
      <c r="AF16" s="164"/>
      <c r="AG16" s="164"/>
      <c r="AH16" s="164"/>
      <c r="AI16" s="164"/>
    </row>
    <row r="17" spans="1:35" ht="13.5">
      <c r="A17" s="164">
        <f t="shared" si="0"/>
        <v>10</v>
      </c>
      <c r="B17" s="171" t="str">
        <f t="shared" si="1"/>
        <v>売</v>
      </c>
      <c r="C17" s="164"/>
      <c r="D17" s="172">
        <v>42033</v>
      </c>
      <c r="E17" s="164">
        <v>8</v>
      </c>
      <c r="F17" s="164">
        <v>102.773</v>
      </c>
      <c r="G17" s="164">
        <v>103.363</v>
      </c>
      <c r="H17" s="164"/>
      <c r="I17" s="172">
        <v>42033</v>
      </c>
      <c r="J17" s="164">
        <v>12</v>
      </c>
      <c r="K17" s="164">
        <v>102.763</v>
      </c>
      <c r="L17" s="172">
        <v>42039</v>
      </c>
      <c r="M17" s="164">
        <v>4</v>
      </c>
      <c r="N17" s="164">
        <v>101.376</v>
      </c>
      <c r="O17" s="164"/>
      <c r="P17" s="172">
        <v>42038</v>
      </c>
      <c r="Q17" s="164">
        <v>12</v>
      </c>
      <c r="R17" s="164">
        <v>101.723</v>
      </c>
      <c r="S17" s="172">
        <v>42039</v>
      </c>
      <c r="T17" s="164">
        <v>4</v>
      </c>
      <c r="U17" s="164">
        <v>101.376</v>
      </c>
      <c r="V17" s="164"/>
      <c r="W17" s="172">
        <v>42033</v>
      </c>
      <c r="X17" s="164">
        <v>12</v>
      </c>
      <c r="Y17" s="164">
        <v>102.763</v>
      </c>
      <c r="Z17" s="172">
        <v>42039</v>
      </c>
      <c r="AA17" s="164">
        <v>4</v>
      </c>
      <c r="AB17" s="164">
        <v>101.376</v>
      </c>
      <c r="AC17" s="164"/>
      <c r="AD17" s="172">
        <v>42034</v>
      </c>
      <c r="AE17" s="164">
        <v>16</v>
      </c>
      <c r="AF17" s="164">
        <v>102.763</v>
      </c>
      <c r="AG17" s="172">
        <v>42039</v>
      </c>
      <c r="AH17" s="164">
        <v>4</v>
      </c>
      <c r="AI17" s="164">
        <v>101.376</v>
      </c>
    </row>
    <row r="18" spans="1:35" ht="13.5">
      <c r="A18" s="164">
        <f t="shared" si="0"/>
        <v>11</v>
      </c>
      <c r="B18" s="171" t="str">
        <f t="shared" si="1"/>
        <v>売</v>
      </c>
      <c r="C18" s="164"/>
      <c r="D18" s="172">
        <v>42040</v>
      </c>
      <c r="E18" s="164">
        <v>0</v>
      </c>
      <c r="F18" s="164">
        <v>101.41</v>
      </c>
      <c r="G18" s="164">
        <v>101.762</v>
      </c>
      <c r="H18" s="164"/>
      <c r="I18" s="172">
        <v>42040</v>
      </c>
      <c r="J18" s="164">
        <v>4</v>
      </c>
      <c r="K18" s="164">
        <v>101.31</v>
      </c>
      <c r="L18" s="172">
        <v>42041</v>
      </c>
      <c r="M18" s="164">
        <v>12</v>
      </c>
      <c r="N18" s="164">
        <v>101.563</v>
      </c>
      <c r="O18" s="164" t="s">
        <v>369</v>
      </c>
      <c r="P18" s="164"/>
      <c r="Q18" s="164"/>
      <c r="R18" s="164"/>
      <c r="S18" s="164"/>
      <c r="T18" s="164"/>
      <c r="U18" s="164"/>
      <c r="V18" s="164" t="s">
        <v>370</v>
      </c>
      <c r="W18" s="164"/>
      <c r="X18" s="164"/>
      <c r="Y18" s="164"/>
      <c r="Z18" s="164"/>
      <c r="AA18" s="164"/>
      <c r="AB18" s="164"/>
      <c r="AC18" s="164"/>
      <c r="AD18" s="172">
        <v>42040</v>
      </c>
      <c r="AE18" s="164">
        <v>16</v>
      </c>
      <c r="AF18" s="164">
        <v>101.131</v>
      </c>
      <c r="AG18" s="172">
        <v>42041</v>
      </c>
      <c r="AH18" s="164">
        <v>12</v>
      </c>
      <c r="AI18" s="164">
        <v>101.563</v>
      </c>
    </row>
    <row r="19" spans="1:35" ht="13.5">
      <c r="A19" s="164">
        <f t="shared" si="0"/>
        <v>12</v>
      </c>
      <c r="B19" s="171" t="str">
        <f t="shared" si="1"/>
        <v>買</v>
      </c>
      <c r="C19" s="164"/>
      <c r="D19" s="172">
        <v>42041</v>
      </c>
      <c r="E19" s="164">
        <v>16</v>
      </c>
      <c r="F19" s="164">
        <v>101.996</v>
      </c>
      <c r="G19" s="164">
        <v>101.261</v>
      </c>
      <c r="H19" s="164"/>
      <c r="I19" s="172">
        <v>42041</v>
      </c>
      <c r="J19" s="164">
        <v>20</v>
      </c>
      <c r="K19" s="164">
        <v>102.006</v>
      </c>
      <c r="L19" s="172">
        <v>42048</v>
      </c>
      <c r="M19" s="164">
        <v>8</v>
      </c>
      <c r="N19" s="164">
        <v>102.222</v>
      </c>
      <c r="O19" s="164"/>
      <c r="P19" s="172">
        <v>42042</v>
      </c>
      <c r="Q19" s="164">
        <v>8</v>
      </c>
      <c r="R19" s="164">
        <v>102.181</v>
      </c>
      <c r="S19" s="172">
        <v>42048</v>
      </c>
      <c r="T19" s="164">
        <v>8</v>
      </c>
      <c r="U19" s="164">
        <v>102.222</v>
      </c>
      <c r="V19" s="164"/>
      <c r="W19" s="172">
        <v>42041</v>
      </c>
      <c r="X19" s="164">
        <v>20</v>
      </c>
      <c r="Y19" s="164">
        <v>102.006</v>
      </c>
      <c r="Z19" s="172">
        <v>42048</v>
      </c>
      <c r="AA19" s="164">
        <v>8</v>
      </c>
      <c r="AB19" s="164">
        <v>102.222</v>
      </c>
      <c r="AC19" s="164"/>
      <c r="AD19" s="172">
        <v>42042</v>
      </c>
      <c r="AE19" s="164">
        <v>4</v>
      </c>
      <c r="AF19" s="164">
        <v>102.006</v>
      </c>
      <c r="AG19" s="172">
        <v>42048</v>
      </c>
      <c r="AH19" s="164">
        <v>8</v>
      </c>
      <c r="AI19" s="164">
        <v>102.222</v>
      </c>
    </row>
    <row r="20" spans="1:35" ht="13.5">
      <c r="A20" s="164">
        <f t="shared" si="0"/>
        <v>13</v>
      </c>
      <c r="B20" s="171" t="str">
        <f t="shared" si="1"/>
        <v>売</v>
      </c>
      <c r="C20" s="164"/>
      <c r="D20" s="172">
        <v>42047</v>
      </c>
      <c r="E20" s="164">
        <v>0</v>
      </c>
      <c r="F20" s="164">
        <v>102.458</v>
      </c>
      <c r="G20" s="164">
        <v>102.676</v>
      </c>
      <c r="H20" s="164"/>
      <c r="I20" s="172">
        <v>42047</v>
      </c>
      <c r="J20" s="164">
        <v>8</v>
      </c>
      <c r="K20" s="164">
        <v>102.666</v>
      </c>
      <c r="L20" s="172">
        <v>42049</v>
      </c>
      <c r="M20" s="164">
        <v>0</v>
      </c>
      <c r="N20" s="164">
        <v>102.323</v>
      </c>
      <c r="O20" s="164"/>
      <c r="P20" s="172">
        <v>42048</v>
      </c>
      <c r="Q20" s="164">
        <v>4</v>
      </c>
      <c r="R20" s="164">
        <v>102.222</v>
      </c>
      <c r="S20" s="172">
        <v>42049</v>
      </c>
      <c r="T20" s="164">
        <v>0</v>
      </c>
      <c r="U20" s="164">
        <v>102.323</v>
      </c>
      <c r="V20" s="164" t="s">
        <v>371</v>
      </c>
      <c r="W20" s="172">
        <v>42048</v>
      </c>
      <c r="X20" s="164">
        <v>4</v>
      </c>
      <c r="Y20" s="164">
        <v>102.26</v>
      </c>
      <c r="Z20" s="172">
        <v>42049</v>
      </c>
      <c r="AA20" s="164">
        <v>0</v>
      </c>
      <c r="AB20" s="164">
        <v>102.323</v>
      </c>
      <c r="AC20" s="164"/>
      <c r="AD20" s="172">
        <v>42047</v>
      </c>
      <c r="AE20" s="164">
        <v>20</v>
      </c>
      <c r="AF20" s="164">
        <v>102.448</v>
      </c>
      <c r="AG20" s="172">
        <v>42049</v>
      </c>
      <c r="AH20" s="164">
        <v>0</v>
      </c>
      <c r="AI20" s="164">
        <v>102.323</v>
      </c>
    </row>
    <row r="21" spans="1:35" ht="13.5">
      <c r="A21" s="164">
        <f t="shared" si="0"/>
        <v>14</v>
      </c>
      <c r="B21" s="171" t="str">
        <f t="shared" si="1"/>
        <v>買</v>
      </c>
      <c r="C21" s="164"/>
      <c r="D21" s="172">
        <v>42053</v>
      </c>
      <c r="E21" s="164">
        <v>0</v>
      </c>
      <c r="F21" s="164">
        <v>102.174</v>
      </c>
      <c r="G21" s="164">
        <v>101.868</v>
      </c>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row>
    <row r="22" spans="1:35" ht="13.5">
      <c r="A22" s="164">
        <f t="shared" si="0"/>
        <v>15</v>
      </c>
      <c r="B22" s="171">
        <f t="shared" si="1"/>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row>
    <row r="23" spans="1:35" ht="13.5">
      <c r="A23" s="164">
        <f t="shared" si="0"/>
        <v>16</v>
      </c>
      <c r="B23" s="171">
        <f t="shared" si="1"/>
      </c>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row>
    <row r="24" spans="1:35" ht="13.5">
      <c r="A24" s="164">
        <f t="shared" si="0"/>
        <v>17</v>
      </c>
      <c r="B24" s="171">
        <f t="shared" si="1"/>
      </c>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row>
    <row r="25" spans="1:35" ht="13.5">
      <c r="A25" s="164">
        <f t="shared" si="0"/>
        <v>18</v>
      </c>
      <c r="B25" s="171">
        <f t="shared" si="1"/>
      </c>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4"/>
    </row>
    <row r="26" spans="1:35" ht="13.5">
      <c r="A26" s="164">
        <f t="shared" si="0"/>
        <v>19</v>
      </c>
      <c r="B26" s="171">
        <f t="shared" si="1"/>
      </c>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row>
    <row r="27" spans="1:35" ht="13.5">
      <c r="A27" s="164">
        <f t="shared" si="0"/>
        <v>20</v>
      </c>
      <c r="B27" s="171">
        <f t="shared" si="1"/>
      </c>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row>
    <row r="28" spans="1:35" ht="13.5">
      <c r="A28" s="164">
        <f t="shared" si="0"/>
        <v>21</v>
      </c>
      <c r="B28" s="171">
        <f t="shared" si="1"/>
      </c>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row>
    <row r="29" spans="1:35" ht="13.5">
      <c r="A29" s="164">
        <f t="shared" si="0"/>
        <v>22</v>
      </c>
      <c r="B29" s="171">
        <f t="shared" si="1"/>
      </c>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row>
    <row r="30" spans="1:35" ht="13.5">
      <c r="A30" s="164">
        <f t="shared" si="0"/>
        <v>23</v>
      </c>
      <c r="B30" s="171">
        <f t="shared" si="1"/>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row>
    <row r="31" spans="1:35" ht="13.5">
      <c r="A31" s="164">
        <f t="shared" si="0"/>
        <v>24</v>
      </c>
      <c r="B31" s="171">
        <f t="shared" si="1"/>
      </c>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row>
    <row r="32" spans="1:35" ht="13.5">
      <c r="A32" s="164">
        <f t="shared" si="0"/>
        <v>25</v>
      </c>
      <c r="B32" s="171">
        <f t="shared" si="1"/>
      </c>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row>
    <row r="33" spans="1:35" ht="13.5">
      <c r="A33" s="164">
        <f t="shared" si="0"/>
        <v>26</v>
      </c>
      <c r="B33" s="171">
        <f t="shared" si="1"/>
      </c>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row>
    <row r="34" spans="1:35" ht="13.5">
      <c r="A34" s="164">
        <f t="shared" si="0"/>
        <v>27</v>
      </c>
      <c r="B34" s="171">
        <f t="shared" si="1"/>
      </c>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row>
    <row r="35" spans="1:35" ht="13.5">
      <c r="A35" s="164">
        <f t="shared" si="0"/>
        <v>28</v>
      </c>
      <c r="B35" s="171">
        <f t="shared" si="1"/>
      </c>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row>
    <row r="36" spans="1:35" ht="13.5">
      <c r="A36" s="164">
        <f t="shared" si="0"/>
        <v>29</v>
      </c>
      <c r="B36" s="171">
        <f t="shared" si="1"/>
      </c>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row>
    <row r="37" spans="1:35" ht="13.5">
      <c r="A37" s="164">
        <f t="shared" si="0"/>
        <v>30</v>
      </c>
      <c r="B37" s="171">
        <f t="shared" si="1"/>
      </c>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row>
    <row r="38" spans="1:35" ht="13.5">
      <c r="A38" s="164">
        <f t="shared" si="0"/>
        <v>31</v>
      </c>
      <c r="B38" s="171">
        <f t="shared" si="1"/>
      </c>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row>
    <row r="39" spans="1:35" ht="13.5">
      <c r="A39" s="164">
        <f t="shared" si="0"/>
        <v>32</v>
      </c>
      <c r="B39" s="171">
        <f t="shared" si="1"/>
      </c>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row>
    <row r="40" spans="1:35" ht="13.5">
      <c r="A40" s="164">
        <f t="shared" si="0"/>
        <v>33</v>
      </c>
      <c r="B40" s="171">
        <f t="shared" si="1"/>
      </c>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row>
    <row r="41" spans="1:35" ht="13.5">
      <c r="A41" s="164">
        <f t="shared" si="0"/>
        <v>34</v>
      </c>
      <c r="B41" s="171">
        <f t="shared" si="1"/>
      </c>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row>
    <row r="42" spans="1:35" ht="13.5">
      <c r="A42" s="164">
        <f t="shared" si="0"/>
        <v>35</v>
      </c>
      <c r="B42" s="171">
        <f t="shared" si="1"/>
      </c>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row>
    <row r="43" spans="1:35" ht="13.5">
      <c r="A43" s="164">
        <f t="shared" si="0"/>
        <v>36</v>
      </c>
      <c r="B43" s="171">
        <f t="shared" si="1"/>
      </c>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row>
    <row r="44" spans="1:35" ht="13.5">
      <c r="A44" s="164">
        <f t="shared" si="0"/>
        <v>37</v>
      </c>
      <c r="B44" s="171">
        <f t="shared" si="1"/>
      </c>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4"/>
    </row>
    <row r="45" spans="1:35" ht="13.5">
      <c r="A45" s="164">
        <f t="shared" si="0"/>
        <v>38</v>
      </c>
      <c r="B45" s="171">
        <f t="shared" si="1"/>
      </c>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row>
    <row r="46" spans="1:35" ht="13.5">
      <c r="A46" s="164">
        <f t="shared" si="0"/>
        <v>39</v>
      </c>
      <c r="B46" s="171">
        <f t="shared" si="1"/>
      </c>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row>
    <row r="47" spans="1:35" ht="13.5">
      <c r="A47" s="164">
        <f t="shared" si="0"/>
        <v>40</v>
      </c>
      <c r="B47" s="171">
        <f t="shared" si="1"/>
      </c>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row>
    <row r="48" spans="1:35" ht="13.5">
      <c r="A48" s="164">
        <f t="shared" si="0"/>
        <v>41</v>
      </c>
      <c r="B48" s="171">
        <f t="shared" si="1"/>
      </c>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row>
    <row r="49" spans="1:35" ht="13.5">
      <c r="A49" s="164">
        <f t="shared" si="0"/>
        <v>42</v>
      </c>
      <c r="B49" s="171">
        <f t="shared" si="1"/>
      </c>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row>
    <row r="50" spans="1:35" ht="13.5">
      <c r="A50" s="164">
        <f t="shared" si="0"/>
        <v>43</v>
      </c>
      <c r="B50" s="171">
        <f t="shared" si="1"/>
      </c>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row>
    <row r="51" spans="1:35" ht="13.5">
      <c r="A51" s="164">
        <f t="shared" si="0"/>
        <v>44</v>
      </c>
      <c r="B51" s="171">
        <f t="shared" si="1"/>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row>
    <row r="52" spans="1:35" ht="13.5">
      <c r="A52" s="164">
        <f t="shared" si="0"/>
        <v>45</v>
      </c>
      <c r="B52" s="171">
        <f t="shared" si="1"/>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row>
    <row r="53" spans="1:35" ht="13.5">
      <c r="A53" s="164">
        <f t="shared" si="0"/>
        <v>46</v>
      </c>
      <c r="B53" s="171">
        <f t="shared" si="1"/>
      </c>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row>
    <row r="54" spans="1:35" ht="13.5">
      <c r="A54" s="164">
        <f t="shared" si="0"/>
        <v>47</v>
      </c>
      <c r="B54" s="171">
        <f t="shared" si="1"/>
      </c>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row>
    <row r="55" spans="1:35" ht="13.5">
      <c r="A55" s="164">
        <f t="shared" si="0"/>
        <v>48</v>
      </c>
      <c r="B55" s="171">
        <f t="shared" si="1"/>
      </c>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row>
    <row r="56" spans="1:35" ht="13.5">
      <c r="A56" s="164">
        <f t="shared" si="0"/>
        <v>49</v>
      </c>
      <c r="B56" s="171">
        <f t="shared" si="1"/>
      </c>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row>
    <row r="57" spans="1:35" ht="13.5">
      <c r="A57" s="164">
        <f t="shared" si="0"/>
        <v>50</v>
      </c>
      <c r="B57" s="171">
        <f t="shared" si="1"/>
      </c>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row>
    <row r="58" spans="1:35" ht="13.5">
      <c r="A58" s="164">
        <f t="shared" si="0"/>
        <v>51</v>
      </c>
      <c r="B58" s="171">
        <f t="shared" si="1"/>
      </c>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row>
    <row r="59" spans="1:35" ht="13.5">
      <c r="A59" s="164">
        <f t="shared" si="0"/>
        <v>52</v>
      </c>
      <c r="B59" s="171">
        <f t="shared" si="1"/>
      </c>
      <c r="C59" s="164"/>
      <c r="D59" s="164"/>
      <c r="E59" s="164"/>
      <c r="F59" s="164"/>
      <c r="G59" s="164"/>
      <c r="H59" s="164"/>
      <c r="I59" s="164"/>
      <c r="J59" s="164"/>
      <c r="K59" s="164"/>
      <c r="L59" s="164"/>
      <c r="M59" s="164"/>
      <c r="N59" s="164"/>
      <c r="O59" s="164"/>
      <c r="P59" s="164"/>
      <c r="Q59" s="164"/>
      <c r="R59" s="164"/>
      <c r="S59" s="164"/>
      <c r="T59" s="164"/>
      <c r="U59" s="164"/>
      <c r="V59" s="164"/>
      <c r="W59" s="164"/>
      <c r="X59" s="164"/>
      <c r="Y59" s="164"/>
      <c r="Z59" s="164"/>
      <c r="AA59" s="164"/>
      <c r="AB59" s="164"/>
      <c r="AC59" s="164"/>
      <c r="AD59" s="164"/>
      <c r="AE59" s="164"/>
      <c r="AF59" s="164"/>
      <c r="AG59" s="164"/>
      <c r="AH59" s="164"/>
      <c r="AI59" s="164"/>
    </row>
    <row r="60" spans="1:35" ht="13.5">
      <c r="A60" s="164">
        <f t="shared" si="0"/>
        <v>53</v>
      </c>
      <c r="B60" s="171">
        <f t="shared" si="1"/>
      </c>
      <c r="C60" s="164"/>
      <c r="D60" s="164"/>
      <c r="E60" s="164"/>
      <c r="F60" s="164"/>
      <c r="G60" s="164"/>
      <c r="H60" s="164"/>
      <c r="I60" s="164"/>
      <c r="J60" s="164"/>
      <c r="K60" s="164"/>
      <c r="L60" s="164"/>
      <c r="M60" s="164"/>
      <c r="N60" s="164"/>
      <c r="O60" s="164"/>
      <c r="P60" s="164"/>
      <c r="Q60" s="164"/>
      <c r="R60" s="164"/>
      <c r="S60" s="164"/>
      <c r="T60" s="164"/>
      <c r="U60" s="164"/>
      <c r="V60" s="164"/>
      <c r="W60" s="164"/>
      <c r="X60" s="164"/>
      <c r="Y60" s="164"/>
      <c r="Z60" s="164"/>
      <c r="AA60" s="164"/>
      <c r="AB60" s="164"/>
      <c r="AC60" s="164"/>
      <c r="AD60" s="164"/>
      <c r="AE60" s="164"/>
      <c r="AF60" s="164"/>
      <c r="AG60" s="164"/>
      <c r="AH60" s="164"/>
      <c r="AI60" s="164"/>
    </row>
    <row r="61" spans="1:35" ht="13.5">
      <c r="A61" s="164">
        <f t="shared" si="0"/>
        <v>54</v>
      </c>
      <c r="B61" s="171">
        <f t="shared" si="1"/>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row>
    <row r="62" spans="1:35" ht="13.5">
      <c r="A62" s="164">
        <f t="shared" si="0"/>
        <v>55</v>
      </c>
      <c r="B62" s="171">
        <f t="shared" si="1"/>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row>
    <row r="63" spans="1:35" ht="13.5">
      <c r="A63" s="164">
        <f t="shared" si="0"/>
        <v>56</v>
      </c>
      <c r="B63" s="171">
        <f t="shared" si="1"/>
      </c>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row>
    <row r="64" spans="1:35" ht="13.5">
      <c r="A64" s="164">
        <f t="shared" si="0"/>
        <v>57</v>
      </c>
      <c r="B64" s="171">
        <f t="shared" si="1"/>
      </c>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row>
    <row r="65" spans="1:35" ht="13.5">
      <c r="A65" s="164">
        <f t="shared" si="0"/>
        <v>58</v>
      </c>
      <c r="B65" s="171">
        <f t="shared" si="1"/>
      </c>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row>
    <row r="66" spans="1:35" ht="13.5">
      <c r="A66" s="164">
        <f t="shared" si="0"/>
        <v>59</v>
      </c>
      <c r="B66" s="171">
        <f t="shared" si="1"/>
      </c>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row>
    <row r="67" spans="1:35" ht="13.5">
      <c r="A67" s="164">
        <f t="shared" si="0"/>
        <v>60</v>
      </c>
      <c r="B67" s="171">
        <f t="shared" si="1"/>
      </c>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row>
    <row r="68" spans="1:35" ht="13.5">
      <c r="A68" s="164">
        <f t="shared" si="0"/>
        <v>61</v>
      </c>
      <c r="B68" s="171">
        <f t="shared" si="1"/>
      </c>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row>
    <row r="69" spans="1:35" ht="13.5">
      <c r="A69" s="164">
        <f t="shared" si="0"/>
        <v>62</v>
      </c>
      <c r="B69" s="171">
        <f t="shared" si="1"/>
      </c>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row>
    <row r="70" spans="1:35" ht="13.5">
      <c r="A70" s="164">
        <f t="shared" si="0"/>
        <v>63</v>
      </c>
      <c r="B70" s="171">
        <f t="shared" si="1"/>
      </c>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row>
    <row r="71" spans="1:35" ht="13.5">
      <c r="A71" s="164">
        <f t="shared" si="0"/>
        <v>64</v>
      </c>
      <c r="B71" s="171">
        <f t="shared" si="1"/>
      </c>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row>
    <row r="72" spans="1:35" ht="13.5">
      <c r="A72" s="164">
        <f t="shared" si="0"/>
        <v>65</v>
      </c>
      <c r="B72" s="171">
        <f t="shared" si="1"/>
      </c>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row>
    <row r="73" spans="1:35" ht="13.5">
      <c r="A73" s="164">
        <f aca="true" t="shared" si="2" ref="A73:A107">ROW()-7</f>
        <v>66</v>
      </c>
      <c r="B73" s="171">
        <f aca="true" t="shared" si="3" ref="B73:B107">IF(F73&lt;&gt;"",IF(F73-G73&gt;0,"買","売"),"")</f>
      </c>
      <c r="C73" s="164"/>
      <c r="D73" s="164"/>
      <c r="E73" s="164"/>
      <c r="F73" s="164"/>
      <c r="G73" s="164"/>
      <c r="H73" s="164"/>
      <c r="I73" s="164"/>
      <c r="J73" s="164"/>
      <c r="K73" s="164"/>
      <c r="L73" s="164"/>
      <c r="M73" s="164"/>
      <c r="N73" s="164"/>
      <c r="O73" s="164"/>
      <c r="P73" s="164"/>
      <c r="Q73" s="164"/>
      <c r="R73" s="164"/>
      <c r="S73" s="164"/>
      <c r="T73" s="164"/>
      <c r="U73" s="164"/>
      <c r="V73" s="164"/>
      <c r="W73" s="164"/>
      <c r="X73" s="164"/>
      <c r="Y73" s="164"/>
      <c r="Z73" s="164"/>
      <c r="AA73" s="164"/>
      <c r="AB73" s="164"/>
      <c r="AC73" s="164"/>
      <c r="AD73" s="164"/>
      <c r="AE73" s="164"/>
      <c r="AF73" s="164"/>
      <c r="AG73" s="164"/>
      <c r="AH73" s="164"/>
      <c r="AI73" s="164"/>
    </row>
    <row r="74" spans="1:35" ht="13.5">
      <c r="A74" s="164">
        <f t="shared" si="2"/>
        <v>67</v>
      </c>
      <c r="B74" s="171">
        <f t="shared" si="3"/>
      </c>
      <c r="C74" s="164"/>
      <c r="D74" s="164"/>
      <c r="E74" s="164"/>
      <c r="F74" s="164"/>
      <c r="G74" s="164"/>
      <c r="H74" s="164"/>
      <c r="I74" s="164"/>
      <c r="J74" s="164"/>
      <c r="K74" s="164"/>
      <c r="L74" s="164"/>
      <c r="M74" s="164"/>
      <c r="N74" s="164"/>
      <c r="O74" s="164"/>
      <c r="P74" s="164"/>
      <c r="Q74" s="164"/>
      <c r="R74" s="164"/>
      <c r="S74" s="164"/>
      <c r="T74" s="164"/>
      <c r="U74" s="164"/>
      <c r="V74" s="164"/>
      <c r="W74" s="164"/>
      <c r="X74" s="164"/>
      <c r="Y74" s="164"/>
      <c r="Z74" s="164"/>
      <c r="AA74" s="164"/>
      <c r="AB74" s="164"/>
      <c r="AC74" s="164"/>
      <c r="AD74" s="164"/>
      <c r="AE74" s="164"/>
      <c r="AF74" s="164"/>
      <c r="AG74" s="164"/>
      <c r="AH74" s="164"/>
      <c r="AI74" s="164"/>
    </row>
    <row r="75" spans="1:35" ht="13.5">
      <c r="A75" s="164">
        <f t="shared" si="2"/>
        <v>68</v>
      </c>
      <c r="B75" s="171">
        <f t="shared" si="3"/>
      </c>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row>
    <row r="76" spans="1:35" ht="13.5">
      <c r="A76" s="164">
        <f t="shared" si="2"/>
        <v>69</v>
      </c>
      <c r="B76" s="171">
        <f t="shared" si="3"/>
      </c>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row>
    <row r="77" spans="1:35" ht="13.5">
      <c r="A77" s="164">
        <f t="shared" si="2"/>
        <v>70</v>
      </c>
      <c r="B77" s="171">
        <f t="shared" si="3"/>
      </c>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row>
    <row r="78" spans="1:35" ht="13.5">
      <c r="A78" s="164">
        <f t="shared" si="2"/>
        <v>71</v>
      </c>
      <c r="B78" s="171">
        <f t="shared" si="3"/>
      </c>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row>
    <row r="79" spans="1:35" ht="13.5">
      <c r="A79" s="164">
        <f t="shared" si="2"/>
        <v>72</v>
      </c>
      <c r="B79" s="171">
        <f t="shared" si="3"/>
      </c>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row>
    <row r="80" spans="1:35" ht="13.5">
      <c r="A80" s="164">
        <f t="shared" si="2"/>
        <v>73</v>
      </c>
      <c r="B80" s="171">
        <f t="shared" si="3"/>
      </c>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row>
    <row r="81" spans="1:35" ht="13.5">
      <c r="A81" s="164">
        <f t="shared" si="2"/>
        <v>74</v>
      </c>
      <c r="B81" s="171">
        <f t="shared" si="3"/>
      </c>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row>
    <row r="82" spans="1:35" ht="13.5">
      <c r="A82" s="164">
        <f t="shared" si="2"/>
        <v>75</v>
      </c>
      <c r="B82" s="171">
        <f t="shared" si="3"/>
      </c>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row>
    <row r="83" spans="1:35" ht="13.5">
      <c r="A83" s="164">
        <f t="shared" si="2"/>
        <v>76</v>
      </c>
      <c r="B83" s="171">
        <f t="shared" si="3"/>
      </c>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row>
    <row r="84" spans="1:35" ht="13.5">
      <c r="A84" s="164">
        <f t="shared" si="2"/>
        <v>77</v>
      </c>
      <c r="B84" s="171">
        <f t="shared" si="3"/>
      </c>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row>
    <row r="85" spans="1:35" ht="13.5">
      <c r="A85" s="164">
        <f t="shared" si="2"/>
        <v>78</v>
      </c>
      <c r="B85" s="171">
        <f t="shared" si="3"/>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row>
    <row r="86" spans="1:35" ht="13.5">
      <c r="A86" s="164">
        <f t="shared" si="2"/>
        <v>79</v>
      </c>
      <c r="B86" s="171">
        <f t="shared" si="3"/>
      </c>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row>
    <row r="87" spans="1:35" ht="13.5">
      <c r="A87" s="164">
        <f t="shared" si="2"/>
        <v>80</v>
      </c>
      <c r="B87" s="171">
        <f t="shared" si="3"/>
      </c>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row>
    <row r="88" spans="1:35" ht="13.5">
      <c r="A88" s="164">
        <f t="shared" si="2"/>
        <v>81</v>
      </c>
      <c r="B88" s="171">
        <f t="shared" si="3"/>
      </c>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row>
    <row r="89" spans="1:35" ht="13.5">
      <c r="A89" s="164">
        <f t="shared" si="2"/>
        <v>82</v>
      </c>
      <c r="B89" s="171">
        <f t="shared" si="3"/>
      </c>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row>
    <row r="90" spans="1:35" ht="13.5">
      <c r="A90" s="164">
        <f t="shared" si="2"/>
        <v>83</v>
      </c>
      <c r="B90" s="171">
        <f t="shared" si="3"/>
      </c>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row>
    <row r="91" spans="1:35" ht="13.5">
      <c r="A91" s="164">
        <f t="shared" si="2"/>
        <v>84</v>
      </c>
      <c r="B91" s="171">
        <f t="shared" si="3"/>
      </c>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row>
    <row r="92" spans="1:35" ht="13.5">
      <c r="A92" s="164">
        <f t="shared" si="2"/>
        <v>85</v>
      </c>
      <c r="B92" s="171">
        <f t="shared" si="3"/>
      </c>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row>
    <row r="93" spans="1:35" ht="13.5">
      <c r="A93" s="164">
        <f t="shared" si="2"/>
        <v>86</v>
      </c>
      <c r="B93" s="171">
        <f t="shared" si="3"/>
      </c>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row>
    <row r="94" spans="1:35" ht="13.5">
      <c r="A94" s="164">
        <f t="shared" si="2"/>
        <v>87</v>
      </c>
      <c r="B94" s="171">
        <f t="shared" si="3"/>
      </c>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row>
    <row r="95" spans="1:35" ht="13.5">
      <c r="A95" s="164">
        <f t="shared" si="2"/>
        <v>88</v>
      </c>
      <c r="B95" s="171">
        <f t="shared" si="3"/>
      </c>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row>
    <row r="96" spans="1:35" ht="13.5">
      <c r="A96" s="164">
        <f t="shared" si="2"/>
        <v>89</v>
      </c>
      <c r="B96" s="171">
        <f t="shared" si="3"/>
      </c>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row>
    <row r="97" spans="1:35" ht="13.5">
      <c r="A97" s="164">
        <f t="shared" si="2"/>
        <v>90</v>
      </c>
      <c r="B97" s="171">
        <f t="shared" si="3"/>
      </c>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row>
    <row r="98" spans="1:35" ht="13.5">
      <c r="A98" s="164">
        <f t="shared" si="2"/>
        <v>91</v>
      </c>
      <c r="B98" s="171">
        <f t="shared" si="3"/>
      </c>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row>
    <row r="99" spans="1:35" ht="13.5">
      <c r="A99" s="164">
        <f t="shared" si="2"/>
        <v>92</v>
      </c>
      <c r="B99" s="171">
        <f t="shared" si="3"/>
      </c>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row>
    <row r="100" spans="1:35" ht="13.5">
      <c r="A100" s="164">
        <f t="shared" si="2"/>
        <v>93</v>
      </c>
      <c r="B100" s="171">
        <f t="shared" si="3"/>
      </c>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row>
    <row r="101" spans="1:35" ht="13.5">
      <c r="A101" s="164">
        <f t="shared" si="2"/>
        <v>94</v>
      </c>
      <c r="B101" s="171">
        <f t="shared" si="3"/>
      </c>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row>
    <row r="102" spans="1:35" ht="13.5">
      <c r="A102" s="164">
        <f t="shared" si="2"/>
        <v>95</v>
      </c>
      <c r="B102" s="171">
        <f t="shared" si="3"/>
      </c>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row>
    <row r="103" spans="1:35" ht="13.5">
      <c r="A103" s="164">
        <f t="shared" si="2"/>
        <v>96</v>
      </c>
      <c r="B103" s="171">
        <f t="shared" si="3"/>
      </c>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row>
    <row r="104" spans="1:35" ht="13.5">
      <c r="A104" s="164">
        <f t="shared" si="2"/>
        <v>97</v>
      </c>
      <c r="B104" s="171">
        <f t="shared" si="3"/>
      </c>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row>
    <row r="105" spans="1:35" ht="13.5">
      <c r="A105" s="164">
        <f t="shared" si="2"/>
        <v>98</v>
      </c>
      <c r="B105" s="171">
        <f t="shared" si="3"/>
      </c>
      <c r="C105" s="164"/>
      <c r="D105" s="164"/>
      <c r="E105" s="164"/>
      <c r="F105" s="164"/>
      <c r="G105" s="164"/>
      <c r="H105" s="164"/>
      <c r="I105" s="164"/>
      <c r="J105" s="164"/>
      <c r="K105" s="164"/>
      <c r="L105" s="164"/>
      <c r="M105" s="164"/>
      <c r="N105" s="164"/>
      <c r="O105" s="164"/>
      <c r="P105" s="164"/>
      <c r="Q105" s="164"/>
      <c r="R105" s="164"/>
      <c r="S105" s="164"/>
      <c r="T105" s="164"/>
      <c r="U105" s="164"/>
      <c r="V105" s="164"/>
      <c r="W105" s="164"/>
      <c r="X105" s="164"/>
      <c r="Y105" s="164"/>
      <c r="Z105" s="164"/>
      <c r="AA105" s="164"/>
      <c r="AB105" s="164"/>
      <c r="AC105" s="164"/>
      <c r="AD105" s="164"/>
      <c r="AE105" s="164"/>
      <c r="AF105" s="164"/>
      <c r="AG105" s="164"/>
      <c r="AH105" s="164"/>
      <c r="AI105" s="164"/>
    </row>
    <row r="106" spans="1:35" ht="13.5">
      <c r="A106" s="164">
        <f t="shared" si="2"/>
        <v>99</v>
      </c>
      <c r="B106" s="171">
        <f t="shared" si="3"/>
      </c>
      <c r="C106" s="164"/>
      <c r="D106" s="164"/>
      <c r="E106" s="164"/>
      <c r="F106" s="164"/>
      <c r="G106" s="164"/>
      <c r="H106" s="164"/>
      <c r="I106" s="164"/>
      <c r="J106" s="164"/>
      <c r="K106" s="164"/>
      <c r="L106" s="164"/>
      <c r="M106" s="164"/>
      <c r="N106" s="164"/>
      <c r="O106" s="164"/>
      <c r="P106" s="164"/>
      <c r="Q106" s="164"/>
      <c r="R106" s="164"/>
      <c r="S106" s="164"/>
      <c r="T106" s="164"/>
      <c r="U106" s="164"/>
      <c r="V106" s="164"/>
      <c r="W106" s="164"/>
      <c r="X106" s="164"/>
      <c r="Y106" s="164"/>
      <c r="Z106" s="164"/>
      <c r="AA106" s="164"/>
      <c r="AB106" s="164"/>
      <c r="AC106" s="164"/>
      <c r="AD106" s="164"/>
      <c r="AE106" s="164"/>
      <c r="AF106" s="164"/>
      <c r="AG106" s="164"/>
      <c r="AH106" s="164"/>
      <c r="AI106" s="164"/>
    </row>
    <row r="107" spans="1:35" ht="13.5">
      <c r="A107" s="164">
        <f t="shared" si="2"/>
        <v>100</v>
      </c>
      <c r="B107" s="171">
        <f t="shared" si="3"/>
      </c>
      <c r="C107" s="164"/>
      <c r="D107" s="164"/>
      <c r="E107" s="164"/>
      <c r="F107" s="164"/>
      <c r="G107" s="164"/>
      <c r="H107" s="164"/>
      <c r="I107" s="164"/>
      <c r="J107" s="164"/>
      <c r="K107" s="164"/>
      <c r="L107" s="164"/>
      <c r="M107" s="164"/>
      <c r="N107" s="164"/>
      <c r="O107" s="164"/>
      <c r="P107" s="164"/>
      <c r="Q107" s="164"/>
      <c r="R107" s="164"/>
      <c r="S107" s="164"/>
      <c r="T107" s="164"/>
      <c r="U107" s="164"/>
      <c r="V107" s="164"/>
      <c r="W107" s="164"/>
      <c r="X107" s="164"/>
      <c r="Y107" s="164"/>
      <c r="Z107" s="164"/>
      <c r="AA107" s="164"/>
      <c r="AB107" s="164"/>
      <c r="AC107" s="164"/>
      <c r="AD107" s="164"/>
      <c r="AE107" s="164"/>
      <c r="AF107" s="164"/>
      <c r="AG107" s="164"/>
      <c r="AH107" s="164"/>
      <c r="AI107" s="164"/>
    </row>
  </sheetData>
  <sheetProtection/>
  <mergeCells count="7">
    <mergeCell ref="A6:G6"/>
    <mergeCell ref="C3:G3"/>
    <mergeCell ref="I3:L3"/>
    <mergeCell ref="AC6:AI6"/>
    <mergeCell ref="V6:AB6"/>
    <mergeCell ref="O6:U6"/>
    <mergeCell ref="H6:N6"/>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V568"/>
  <sheetViews>
    <sheetView zoomScale="70" zoomScaleNormal="70" zoomScaleSheetLayoutView="100" zoomScalePageLayoutView="0" workbookViewId="0" topLeftCell="A1">
      <selection activeCell="A1" sqref="A1"/>
    </sheetView>
  </sheetViews>
  <sheetFormatPr defaultColWidth="8.875" defaultRowHeight="13.5"/>
  <cols>
    <col min="1" max="1" width="8.875" style="136" customWidth="1"/>
  </cols>
  <sheetData>
    <row r="1" s="115" customFormat="1" ht="13.5">
      <c r="A1" s="139" t="s">
        <v>107</v>
      </c>
    </row>
    <row r="2" ht="13.5">
      <c r="A2" s="136" t="s">
        <v>164</v>
      </c>
    </row>
    <row r="3" ht="13.5">
      <c r="P3" s="136"/>
    </row>
    <row r="4" spans="16:22" ht="13.5">
      <c r="P4" s="136"/>
      <c r="V4" s="132" t="s">
        <v>148</v>
      </c>
    </row>
    <row r="5" spans="3:16" ht="13.5">
      <c r="C5" s="132" t="s">
        <v>137</v>
      </c>
      <c r="J5" s="132" t="s">
        <v>147</v>
      </c>
      <c r="P5" s="136"/>
    </row>
    <row r="6" spans="16:22" ht="13.5">
      <c r="P6" s="136"/>
      <c r="V6" s="132" t="s">
        <v>151</v>
      </c>
    </row>
    <row r="7" spans="3:22" ht="13.5">
      <c r="C7" s="132" t="s">
        <v>152</v>
      </c>
      <c r="J7" s="132" t="s">
        <v>155</v>
      </c>
      <c r="P7" s="136"/>
      <c r="V7" t="s">
        <v>133</v>
      </c>
    </row>
    <row r="8" spans="3:22" ht="13.5">
      <c r="C8" t="s">
        <v>133</v>
      </c>
      <c r="J8" t="s">
        <v>133</v>
      </c>
      <c r="P8" s="136"/>
      <c r="V8" t="s">
        <v>149</v>
      </c>
    </row>
    <row r="9" spans="3:16" ht="13.5">
      <c r="C9" t="s">
        <v>139</v>
      </c>
      <c r="J9" t="s">
        <v>138</v>
      </c>
      <c r="P9" s="136"/>
    </row>
    <row r="10" spans="10:22" ht="13.5">
      <c r="J10" t="s">
        <v>140</v>
      </c>
      <c r="P10" s="136"/>
      <c r="V10" s="132" t="s">
        <v>150</v>
      </c>
    </row>
    <row r="11" spans="3:22" ht="13.5">
      <c r="C11" s="132" t="s">
        <v>153</v>
      </c>
      <c r="P11" s="136"/>
      <c r="V11" t="s">
        <v>141</v>
      </c>
    </row>
    <row r="12" spans="3:22" ht="13.5">
      <c r="C12" t="s">
        <v>132</v>
      </c>
      <c r="J12" s="132" t="s">
        <v>156</v>
      </c>
      <c r="P12" s="136"/>
      <c r="V12" t="s">
        <v>158</v>
      </c>
    </row>
    <row r="13" spans="3:16" ht="13.5">
      <c r="C13" t="s">
        <v>134</v>
      </c>
      <c r="J13" t="s">
        <v>141</v>
      </c>
      <c r="P13" s="136"/>
    </row>
    <row r="14" spans="10:22" ht="13.5">
      <c r="J14" t="s">
        <v>142</v>
      </c>
      <c r="P14" s="136"/>
      <c r="V14" s="132" t="s">
        <v>159</v>
      </c>
    </row>
    <row r="15" spans="3:22" ht="13.5">
      <c r="C15" s="132" t="s">
        <v>154</v>
      </c>
      <c r="J15" t="s">
        <v>143</v>
      </c>
      <c r="P15" s="136"/>
      <c r="V15" t="s">
        <v>141</v>
      </c>
    </row>
    <row r="16" spans="3:22" ht="13.5">
      <c r="C16" t="s">
        <v>133</v>
      </c>
      <c r="P16" s="136"/>
      <c r="V16" t="s">
        <v>160</v>
      </c>
    </row>
    <row r="17" spans="3:22" ht="13.5">
      <c r="C17" t="s">
        <v>135</v>
      </c>
      <c r="J17" s="132" t="s">
        <v>157</v>
      </c>
      <c r="P17" s="136"/>
      <c r="V17" t="s">
        <v>161</v>
      </c>
    </row>
    <row r="18" spans="3:16" ht="13.5">
      <c r="C18" t="s">
        <v>136</v>
      </c>
      <c r="J18" t="s">
        <v>141</v>
      </c>
      <c r="P18" s="136"/>
    </row>
    <row r="19" spans="10:22" ht="13.5">
      <c r="J19" t="s">
        <v>144</v>
      </c>
      <c r="P19" s="136"/>
      <c r="V19" s="132" t="s">
        <v>162</v>
      </c>
    </row>
    <row r="20" spans="10:22" ht="13.5">
      <c r="J20" t="s">
        <v>145</v>
      </c>
      <c r="P20" s="136"/>
      <c r="V20" t="s">
        <v>133</v>
      </c>
    </row>
    <row r="21" spans="10:22" ht="13.5">
      <c r="J21" t="s">
        <v>146</v>
      </c>
      <c r="P21" s="136"/>
      <c r="V21" t="s">
        <v>163</v>
      </c>
    </row>
    <row r="22" ht="13.5">
      <c r="P22" s="136"/>
    </row>
    <row r="23" ht="13.5">
      <c r="P23" s="136"/>
    </row>
    <row r="24" ht="13.5">
      <c r="P24" s="136"/>
    </row>
    <row r="25" ht="13.5">
      <c r="P25" s="136"/>
    </row>
    <row r="26" ht="13.5">
      <c r="P26" s="136"/>
    </row>
    <row r="27" ht="13.5">
      <c r="P27" s="136"/>
    </row>
    <row r="28" ht="13.5">
      <c r="P28" s="136"/>
    </row>
    <row r="29" ht="13.5">
      <c r="P29" s="136"/>
    </row>
    <row r="30" ht="13.5">
      <c r="P30" s="136"/>
    </row>
    <row r="31" ht="13.5">
      <c r="P31" s="136"/>
    </row>
    <row r="32" ht="13.5">
      <c r="P32" s="136"/>
    </row>
    <row r="33" ht="13.5">
      <c r="P33" s="136"/>
    </row>
    <row r="34" ht="13.5">
      <c r="P34" s="136"/>
    </row>
    <row r="35" ht="13.5">
      <c r="P35" s="136"/>
    </row>
    <row r="38" s="115" customFormat="1" ht="13.5">
      <c r="A38" s="139" t="s">
        <v>270</v>
      </c>
    </row>
    <row r="39" ht="13.5">
      <c r="A39" s="136" t="s">
        <v>271</v>
      </c>
    </row>
    <row r="40" ht="13.5">
      <c r="A40" s="136" t="s">
        <v>272</v>
      </c>
    </row>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c r="A75" s="136" t="s">
        <v>274</v>
      </c>
    </row>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8" ht="13.5">
      <c r="A108" s="136" t="s">
        <v>273</v>
      </c>
    </row>
    <row r="109" ht="13.5"/>
    <row r="110" ht="13.5"/>
    <row r="111" ht="13.5"/>
    <row r="112" ht="13.5"/>
    <row r="113" ht="13.5"/>
    <row r="114" ht="13.5"/>
    <row r="115" ht="13.5"/>
    <row r="116" ht="13.5"/>
    <row r="117" ht="13.5"/>
    <row r="118" ht="13.5"/>
    <row r="119" ht="13.5"/>
    <row r="120" ht="13.5"/>
    <row r="121" ht="13.5"/>
    <row r="122" ht="13.5"/>
    <row r="123" ht="13.5"/>
    <row r="124" ht="13.5"/>
    <row r="125" ht="13.5"/>
    <row r="126" ht="13.5"/>
    <row r="127" ht="13.5"/>
    <row r="128" ht="13.5"/>
    <row r="129" ht="13.5"/>
    <row r="130" ht="13.5"/>
    <row r="131" ht="13.5"/>
    <row r="132" ht="13.5"/>
    <row r="133" ht="13.5"/>
    <row r="134" ht="13.5"/>
    <row r="135" ht="13.5"/>
    <row r="136" ht="13.5"/>
    <row r="137" ht="13.5"/>
    <row r="138" ht="13.5"/>
    <row r="139" ht="13.5"/>
    <row r="140" ht="13.5"/>
    <row r="141" ht="13.5">
      <c r="A141" s="136" t="s">
        <v>275</v>
      </c>
    </row>
    <row r="142" ht="13.5"/>
    <row r="143" ht="13.5"/>
    <row r="144" ht="13.5"/>
    <row r="145" ht="13.5"/>
    <row r="146" ht="13.5"/>
    <row r="147" ht="13.5"/>
    <row r="148" ht="13.5"/>
    <row r="149" ht="13.5"/>
    <row r="150" ht="13.5"/>
    <row r="151" ht="13.5"/>
    <row r="152" ht="13.5"/>
    <row r="153" ht="13.5"/>
    <row r="154" ht="13.5"/>
    <row r="155" ht="13.5"/>
    <row r="156" ht="13.5"/>
    <row r="157" ht="13.5"/>
    <row r="158" ht="13.5"/>
    <row r="159" ht="13.5"/>
    <row r="160" ht="13.5"/>
    <row r="161" ht="13.5"/>
    <row r="162" ht="13.5"/>
    <row r="163" ht="13.5"/>
    <row r="164" ht="13.5"/>
    <row r="165" ht="13.5"/>
    <row r="166" ht="13.5"/>
    <row r="167" ht="13.5"/>
    <row r="168" ht="13.5"/>
    <row r="169" ht="13.5"/>
    <row r="170" ht="13.5"/>
    <row r="171" ht="13.5"/>
    <row r="172" ht="13.5"/>
    <row r="173" ht="13.5"/>
    <row r="175" ht="13.5">
      <c r="A175" s="136" t="s">
        <v>276</v>
      </c>
    </row>
    <row r="176" ht="13.5"/>
    <row r="177" ht="13.5"/>
    <row r="178" ht="13.5"/>
    <row r="179" ht="13.5"/>
    <row r="180" ht="13.5"/>
    <row r="181" ht="13.5"/>
    <row r="182" ht="13.5"/>
    <row r="183" ht="13.5"/>
    <row r="184" ht="13.5"/>
    <row r="185" ht="13.5"/>
    <row r="186" ht="13.5"/>
    <row r="187" ht="13.5"/>
    <row r="188" ht="13.5"/>
    <row r="189" ht="13.5"/>
    <row r="190" ht="13.5"/>
    <row r="191" ht="13.5"/>
    <row r="192" ht="13.5"/>
    <row r="193" ht="13.5"/>
    <row r="194" ht="13.5"/>
    <row r="195" ht="13.5"/>
    <row r="196" ht="13.5"/>
    <row r="197" ht="13.5"/>
    <row r="198" ht="13.5"/>
    <row r="199" ht="13.5"/>
    <row r="200" ht="13.5"/>
    <row r="201" ht="13.5"/>
    <row r="202" ht="13.5"/>
    <row r="203" ht="13.5"/>
    <row r="204" ht="13.5"/>
    <row r="205" ht="13.5"/>
    <row r="206" ht="13.5"/>
    <row r="207" ht="13.5"/>
    <row r="208" ht="13.5"/>
    <row r="209" ht="13.5"/>
    <row r="210" ht="13.5"/>
    <row r="211" ht="13.5"/>
    <row r="212" ht="13.5"/>
    <row r="213" ht="13.5"/>
    <row r="214" ht="13.5"/>
    <row r="216" ht="13.5">
      <c r="A216" s="136" t="s">
        <v>277</v>
      </c>
    </row>
    <row r="217" ht="13.5"/>
    <row r="218" ht="13.5"/>
    <row r="219" ht="13.5"/>
    <row r="220" ht="13.5"/>
    <row r="221" ht="13.5"/>
    <row r="222" ht="13.5"/>
    <row r="223" ht="13.5"/>
    <row r="224" ht="13.5"/>
    <row r="225" ht="13.5"/>
    <row r="226" ht="13.5"/>
    <row r="227" ht="13.5"/>
    <row r="228" ht="13.5"/>
    <row r="229" ht="13.5"/>
    <row r="230" ht="13.5"/>
    <row r="231" ht="13.5"/>
    <row r="232" ht="13.5"/>
    <row r="233" ht="13.5"/>
    <row r="234" ht="13.5"/>
    <row r="235" ht="13.5"/>
    <row r="236" ht="13.5"/>
    <row r="237" ht="13.5"/>
    <row r="238" ht="13.5"/>
    <row r="239" ht="13.5"/>
    <row r="240" ht="13.5"/>
    <row r="241" ht="13.5"/>
    <row r="242" ht="13.5"/>
    <row r="243" ht="13.5"/>
    <row r="244" ht="13.5"/>
    <row r="245" ht="13.5"/>
    <row r="246" ht="13.5"/>
    <row r="247" ht="13.5"/>
    <row r="248" ht="13.5"/>
    <row r="249" ht="13.5"/>
    <row r="250" ht="13.5"/>
    <row r="251" ht="13.5"/>
    <row r="252" ht="13.5"/>
    <row r="253" ht="13.5"/>
    <row r="254" ht="13.5"/>
    <row r="255" ht="13.5"/>
    <row r="257" ht="13.5">
      <c r="A257" s="136" t="s">
        <v>278</v>
      </c>
    </row>
    <row r="258" ht="13.5"/>
    <row r="259" ht="13.5"/>
    <row r="260" ht="13.5"/>
    <row r="261" ht="13.5"/>
    <row r="262" ht="13.5"/>
    <row r="263" ht="13.5"/>
    <row r="264" ht="13.5"/>
    <row r="265" ht="13.5"/>
    <row r="266" ht="13.5"/>
    <row r="267" ht="13.5"/>
    <row r="268" ht="13.5"/>
    <row r="269" ht="13.5"/>
    <row r="270" ht="13.5"/>
    <row r="271" ht="13.5"/>
    <row r="272" ht="13.5"/>
    <row r="273" ht="13.5"/>
    <row r="274" ht="13.5"/>
    <row r="275" ht="13.5"/>
    <row r="276" ht="13.5"/>
    <row r="277" ht="13.5"/>
    <row r="278" ht="13.5"/>
    <row r="279" ht="13.5"/>
    <row r="280" ht="13.5"/>
    <row r="281" ht="13.5"/>
    <row r="282" ht="13.5"/>
    <row r="283" ht="13.5"/>
    <row r="284" ht="13.5"/>
    <row r="285" ht="13.5"/>
    <row r="286" ht="13.5"/>
    <row r="287" ht="13.5"/>
    <row r="288" ht="13.5"/>
    <row r="289" ht="13.5"/>
    <row r="290" ht="13.5"/>
    <row r="291" ht="13.5"/>
    <row r="292" ht="13.5"/>
    <row r="293" ht="13.5"/>
    <row r="294" ht="13.5"/>
    <row r="295" ht="13.5"/>
    <row r="296" ht="13.5"/>
    <row r="298" ht="13.5">
      <c r="A298" s="136" t="s">
        <v>279</v>
      </c>
    </row>
    <row r="299" ht="13.5"/>
    <row r="300" ht="13.5"/>
    <row r="301" ht="13.5"/>
    <row r="302" ht="13.5"/>
    <row r="303" ht="13.5"/>
    <row r="304" ht="13.5"/>
    <row r="305" ht="13.5"/>
    <row r="306" ht="13.5"/>
    <row r="307" ht="13.5"/>
    <row r="308" ht="13.5"/>
    <row r="309" ht="13.5"/>
    <row r="310" ht="13.5"/>
    <row r="311" ht="13.5"/>
    <row r="312" ht="13.5"/>
    <row r="313" ht="13.5"/>
    <row r="314" ht="13.5"/>
    <row r="315" ht="13.5"/>
    <row r="316" ht="13.5"/>
    <row r="317" ht="13.5"/>
    <row r="318" ht="13.5"/>
    <row r="319" ht="13.5"/>
    <row r="320" ht="13.5"/>
    <row r="321" ht="13.5"/>
    <row r="322" ht="13.5"/>
    <row r="323" ht="13.5"/>
    <row r="324" ht="13.5"/>
    <row r="325" ht="13.5"/>
    <row r="326" ht="13.5"/>
    <row r="327" ht="13.5"/>
    <row r="328" ht="13.5"/>
    <row r="329" ht="13.5"/>
    <row r="330" ht="13.5"/>
    <row r="332" ht="13.5">
      <c r="A332" s="136" t="s">
        <v>280</v>
      </c>
    </row>
    <row r="333" ht="13.5"/>
    <row r="334" ht="13.5"/>
    <row r="335" ht="13.5"/>
    <row r="336" ht="13.5"/>
    <row r="337" ht="13.5"/>
    <row r="338" ht="13.5"/>
    <row r="339" ht="13.5"/>
    <row r="340" ht="13.5"/>
    <row r="341" ht="13.5"/>
    <row r="342" ht="13.5"/>
    <row r="343" ht="13.5"/>
    <row r="344" ht="13.5"/>
    <row r="345" ht="13.5"/>
    <row r="346" ht="13.5"/>
    <row r="347" ht="13.5"/>
    <row r="348" ht="13.5"/>
    <row r="349" ht="13.5"/>
    <row r="350" ht="13.5"/>
    <row r="351" ht="13.5"/>
    <row r="352" ht="13.5"/>
    <row r="353" ht="13.5"/>
    <row r="354" ht="13.5"/>
    <row r="355" ht="13.5"/>
    <row r="356" ht="13.5"/>
    <row r="357" ht="13.5"/>
    <row r="358" ht="13.5"/>
    <row r="359" ht="13.5"/>
    <row r="360" ht="13.5"/>
    <row r="361" ht="13.5"/>
    <row r="362" ht="13.5"/>
    <row r="363" ht="13.5"/>
    <row r="364" ht="13.5"/>
    <row r="366" ht="13.5">
      <c r="A366" s="136" t="s">
        <v>281</v>
      </c>
    </row>
    <row r="367" ht="13.5"/>
    <row r="368" ht="13.5"/>
    <row r="369" ht="13.5"/>
    <row r="370" ht="13.5"/>
    <row r="371" ht="13.5"/>
    <row r="372" ht="13.5"/>
    <row r="373" ht="13.5"/>
    <row r="374" ht="13.5"/>
    <row r="375" ht="13.5"/>
    <row r="376" ht="13.5"/>
    <row r="377" ht="13.5"/>
    <row r="378" ht="13.5"/>
    <row r="379" ht="13.5"/>
    <row r="380" ht="13.5"/>
    <row r="381" ht="13.5"/>
    <row r="382" ht="13.5"/>
    <row r="383" ht="13.5"/>
    <row r="384" ht="13.5"/>
    <row r="385" ht="13.5"/>
    <row r="386" ht="13.5"/>
    <row r="387" ht="13.5"/>
    <row r="388" ht="13.5"/>
    <row r="389" ht="13.5"/>
    <row r="390" ht="13.5"/>
    <row r="391" ht="13.5"/>
    <row r="392" ht="13.5"/>
    <row r="393" ht="13.5"/>
    <row r="394" ht="13.5"/>
    <row r="395" ht="13.5"/>
    <row r="396" ht="13.5"/>
    <row r="397" ht="13.5"/>
    <row r="400" ht="13.5">
      <c r="A400" s="136" t="s">
        <v>282</v>
      </c>
    </row>
    <row r="401" ht="13.5"/>
    <row r="402" ht="13.5"/>
    <row r="403" ht="13.5"/>
    <row r="404" ht="13.5"/>
    <row r="405" ht="13.5"/>
    <row r="406" ht="13.5"/>
    <row r="407" ht="13.5"/>
    <row r="408" ht="13.5"/>
    <row r="409" ht="13.5"/>
    <row r="410" ht="13.5"/>
    <row r="411" ht="13.5"/>
    <row r="412" ht="13.5"/>
    <row r="413" ht="13.5"/>
    <row r="414" ht="13.5"/>
    <row r="415" ht="13.5"/>
    <row r="416" ht="13.5"/>
    <row r="417" ht="13.5"/>
    <row r="418" ht="13.5"/>
    <row r="419" ht="13.5"/>
    <row r="420" ht="13.5"/>
    <row r="421" ht="13.5"/>
    <row r="422" ht="13.5"/>
    <row r="423" ht="13.5"/>
    <row r="424" ht="13.5"/>
    <row r="425" ht="13.5"/>
    <row r="426" ht="13.5"/>
    <row r="427" ht="13.5"/>
    <row r="428" ht="13.5"/>
    <row r="429" ht="13.5"/>
    <row r="430" ht="13.5"/>
    <row r="431" ht="13.5"/>
    <row r="433" ht="13.5">
      <c r="A433" s="136" t="s">
        <v>283</v>
      </c>
    </row>
    <row r="434" ht="13.5"/>
    <row r="435" ht="13.5"/>
    <row r="436" ht="13.5"/>
    <row r="437" ht="13.5"/>
    <row r="438" ht="13.5"/>
    <row r="439" ht="13.5"/>
    <row r="440" ht="13.5"/>
    <row r="441" ht="13.5"/>
    <row r="442" ht="13.5"/>
    <row r="443" ht="13.5"/>
    <row r="444" ht="13.5"/>
    <row r="445" ht="13.5"/>
    <row r="446" ht="13.5"/>
    <row r="447" ht="13.5"/>
    <row r="448" ht="13.5"/>
    <row r="449" ht="13.5"/>
    <row r="450" ht="13.5"/>
    <row r="451" ht="13.5"/>
    <row r="452" ht="13.5"/>
    <row r="453" ht="13.5"/>
    <row r="454" ht="13.5"/>
    <row r="455" ht="13.5"/>
    <row r="456" ht="13.5"/>
    <row r="457" ht="13.5"/>
    <row r="458" ht="13.5"/>
    <row r="459" ht="13.5"/>
    <row r="460" ht="13.5"/>
    <row r="461" ht="13.5"/>
    <row r="462" ht="13.5"/>
    <row r="463" ht="13.5"/>
    <row r="464" ht="13.5"/>
    <row r="465" ht="13.5"/>
    <row r="467" ht="13.5">
      <c r="A467" s="136" t="s">
        <v>284</v>
      </c>
    </row>
    <row r="468" ht="13.5"/>
    <row r="469" ht="13.5"/>
    <row r="470" ht="13.5"/>
    <row r="471" ht="13.5"/>
    <row r="472" ht="13.5"/>
    <row r="473" ht="13.5"/>
    <row r="474" ht="13.5"/>
    <row r="475" ht="13.5"/>
    <row r="476" ht="13.5"/>
    <row r="477" ht="13.5"/>
    <row r="478" ht="13.5"/>
    <row r="479" ht="13.5"/>
    <row r="480" ht="13.5"/>
    <row r="481" ht="13.5"/>
    <row r="482" ht="13.5"/>
    <row r="483" ht="13.5"/>
    <row r="484" ht="13.5"/>
    <row r="485" ht="13.5"/>
    <row r="486" ht="13.5"/>
    <row r="487" ht="13.5"/>
    <row r="488" ht="13.5"/>
    <row r="489" ht="13.5"/>
    <row r="490" ht="13.5"/>
    <row r="491" ht="13.5"/>
    <row r="492" ht="13.5"/>
    <row r="493" ht="13.5"/>
    <row r="494" ht="13.5"/>
    <row r="495" ht="13.5"/>
    <row r="496" ht="13.5"/>
    <row r="497" ht="13.5"/>
    <row r="498" ht="13.5"/>
    <row r="499" ht="13.5"/>
    <row r="500" ht="13.5">
      <c r="A500" s="136" t="s">
        <v>285</v>
      </c>
    </row>
    <row r="501" ht="13.5"/>
    <row r="502" ht="13.5"/>
    <row r="503" ht="13.5"/>
    <row r="504" ht="13.5"/>
    <row r="505" ht="13.5"/>
    <row r="506" ht="13.5"/>
    <row r="507" ht="13.5"/>
    <row r="508" ht="13.5"/>
    <row r="509" ht="13.5"/>
    <row r="510" ht="13.5"/>
    <row r="511" ht="13.5"/>
    <row r="512" ht="13.5"/>
    <row r="513" ht="13.5"/>
    <row r="514" ht="13.5"/>
    <row r="515" ht="13.5"/>
    <row r="516" ht="13.5"/>
    <row r="517" ht="13.5"/>
    <row r="518" ht="13.5"/>
    <row r="519" ht="13.5"/>
    <row r="520" ht="13.5"/>
    <row r="521" ht="13.5"/>
    <row r="522" ht="13.5"/>
    <row r="523" ht="13.5"/>
    <row r="524" ht="13.5"/>
    <row r="525" ht="13.5"/>
    <row r="526" ht="13.5"/>
    <row r="527" ht="13.5"/>
    <row r="528" ht="13.5"/>
    <row r="529" ht="13.5"/>
    <row r="530" ht="13.5"/>
    <row r="531" ht="13.5"/>
    <row r="533" ht="13.5">
      <c r="A533" s="136" t="s">
        <v>286</v>
      </c>
    </row>
    <row r="534" ht="13.5"/>
    <row r="535" ht="13.5"/>
    <row r="536" ht="13.5"/>
    <row r="537" ht="13.5"/>
    <row r="538" ht="13.5"/>
    <row r="539" ht="13.5"/>
    <row r="540" ht="13.5"/>
    <row r="541" ht="13.5"/>
    <row r="542" ht="13.5"/>
    <row r="543" ht="13.5"/>
    <row r="544" ht="13.5"/>
    <row r="545" ht="13.5"/>
    <row r="546" ht="13.5"/>
    <row r="547" ht="13.5"/>
    <row r="548" ht="13.5"/>
    <row r="549" ht="13.5"/>
    <row r="550" ht="13.5"/>
    <row r="551" ht="13.5"/>
    <row r="552" ht="13.5"/>
    <row r="553" ht="13.5"/>
    <row r="554" ht="13.5"/>
    <row r="555" ht="13.5"/>
    <row r="556" ht="13.5"/>
    <row r="557" ht="13.5"/>
    <row r="558" ht="13.5"/>
    <row r="559" ht="13.5"/>
    <row r="560" ht="13.5"/>
    <row r="561" ht="13.5"/>
    <row r="562" ht="13.5"/>
    <row r="563" ht="13.5"/>
    <row r="564" ht="13.5"/>
    <row r="565" ht="13.5"/>
    <row r="566" ht="13.5"/>
    <row r="568" ht="13.5">
      <c r="A568" s="136" t="s">
        <v>287</v>
      </c>
    </row>
    <row r="570" ht="13.5"/>
    <row r="571" ht="13.5"/>
    <row r="572" ht="13.5"/>
    <row r="573" ht="13.5"/>
    <row r="574" ht="13.5"/>
    <row r="575" ht="13.5"/>
    <row r="576" ht="13.5"/>
    <row r="577" ht="13.5"/>
    <row r="578" ht="13.5"/>
    <row r="579" ht="13.5"/>
    <row r="580" ht="13.5"/>
    <row r="581" ht="13.5"/>
    <row r="582" ht="13.5"/>
    <row r="583" ht="13.5"/>
    <row r="584" ht="13.5"/>
    <row r="585" ht="13.5"/>
    <row r="586" ht="13.5"/>
    <row r="587" ht="13.5"/>
    <row r="588" ht="13.5"/>
    <row r="589" ht="13.5"/>
    <row r="590" ht="13.5"/>
    <row r="591" ht="13.5"/>
    <row r="592" ht="13.5"/>
    <row r="593" ht="13.5"/>
    <row r="594" ht="13.5"/>
    <row r="595" ht="13.5"/>
    <row r="596" ht="13.5"/>
    <row r="597" ht="13.5"/>
    <row r="598" ht="13.5"/>
    <row r="599" ht="13.5"/>
  </sheetData>
  <sheetProtection/>
  <printOptions/>
  <pageMargins left="0.75" right="0.75" top="1" bottom="1" header="0.5111111111111111" footer="0.5111111111111111"/>
  <pageSetup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dimension ref="A1:I84"/>
  <sheetViews>
    <sheetView zoomScaleSheetLayoutView="100" zoomScalePageLayoutView="0" workbookViewId="0" topLeftCell="A1">
      <selection activeCell="A1" sqref="A1"/>
    </sheetView>
  </sheetViews>
  <sheetFormatPr defaultColWidth="8.875" defaultRowHeight="13.5"/>
  <sheetData>
    <row r="1" spans="1:9" ht="13.5">
      <c r="A1" s="108" t="s">
        <v>54</v>
      </c>
      <c r="B1" s="109"/>
      <c r="C1" s="109"/>
      <c r="D1" s="109"/>
      <c r="E1" s="109"/>
      <c r="F1" s="109"/>
      <c r="G1" s="109"/>
      <c r="H1" s="109"/>
      <c r="I1" s="112"/>
    </row>
    <row r="2" spans="1:9" ht="13.5">
      <c r="A2" s="110" t="s">
        <v>55</v>
      </c>
      <c r="B2" s="111"/>
      <c r="C2" s="111"/>
      <c r="D2" s="111"/>
      <c r="E2" s="111"/>
      <c r="F2" s="111"/>
      <c r="G2" s="111"/>
      <c r="H2" s="111"/>
      <c r="I2" s="112"/>
    </row>
    <row r="3" ht="13.5">
      <c r="D3" s="107"/>
    </row>
    <row r="4" ht="13.5">
      <c r="A4" s="140" t="s">
        <v>108</v>
      </c>
    </row>
    <row r="5" ht="13.5">
      <c r="A5" s="141" t="s">
        <v>109</v>
      </c>
    </row>
    <row r="6" ht="13.5">
      <c r="A6" s="141" t="s">
        <v>306</v>
      </c>
    </row>
    <row r="7" ht="13.5">
      <c r="A7" s="141" t="s">
        <v>128</v>
      </c>
    </row>
    <row r="8" ht="13.5">
      <c r="A8" s="141" t="s">
        <v>307</v>
      </c>
    </row>
    <row r="11" spans="1:2" ht="13.5">
      <c r="A11" t="s">
        <v>56</v>
      </c>
      <c r="B11" s="132" t="s">
        <v>306</v>
      </c>
    </row>
    <row r="12" ht="13.5">
      <c r="B12" s="123" t="s">
        <v>288</v>
      </c>
    </row>
    <row r="13" ht="13.5">
      <c r="B13" s="123" t="s">
        <v>290</v>
      </c>
    </row>
    <row r="14" ht="13.5">
      <c r="B14" s="113"/>
    </row>
    <row r="15" spans="2:7" ht="13.5">
      <c r="B15" s="113"/>
      <c r="C15" t="s">
        <v>291</v>
      </c>
      <c r="D15" t="s">
        <v>292</v>
      </c>
      <c r="E15" t="s">
        <v>293</v>
      </c>
      <c r="F15" t="s">
        <v>262</v>
      </c>
      <c r="G15" t="s">
        <v>311</v>
      </c>
    </row>
    <row r="16" spans="2:7" ht="13.5">
      <c r="B16" s="123" t="s">
        <v>289</v>
      </c>
      <c r="C16">
        <v>40</v>
      </c>
      <c r="D16">
        <v>13</v>
      </c>
      <c r="E16">
        <v>7</v>
      </c>
      <c r="F16">
        <v>6</v>
      </c>
      <c r="G16" s="157">
        <f>E16/D16</f>
        <v>0.5384615384615384</v>
      </c>
    </row>
    <row r="17" spans="2:7" ht="13.5">
      <c r="B17" s="123" t="s">
        <v>294</v>
      </c>
      <c r="C17">
        <v>34</v>
      </c>
      <c r="D17">
        <v>5</v>
      </c>
      <c r="E17">
        <v>2</v>
      </c>
      <c r="F17">
        <v>3</v>
      </c>
      <c r="G17" s="157">
        <f>E17/D17</f>
        <v>0.4</v>
      </c>
    </row>
    <row r="18" spans="2:7" ht="13.5">
      <c r="B18" s="123" t="s">
        <v>295</v>
      </c>
      <c r="C18">
        <v>14</v>
      </c>
      <c r="D18">
        <v>4</v>
      </c>
      <c r="E18">
        <v>1</v>
      </c>
      <c r="F18">
        <v>3</v>
      </c>
      <c r="G18" s="157">
        <f>E18/D18</f>
        <v>0.25</v>
      </c>
    </row>
    <row r="19" ht="13.5">
      <c r="B19" s="113"/>
    </row>
    <row r="21" ht="13.5">
      <c r="B21" t="s">
        <v>296</v>
      </c>
    </row>
    <row r="22" ht="13.5">
      <c r="B22" s="123" t="s">
        <v>297</v>
      </c>
    </row>
    <row r="23" ht="13.5">
      <c r="B23" s="123" t="s">
        <v>298</v>
      </c>
    </row>
    <row r="24" ht="13.5">
      <c r="B24" s="123" t="s">
        <v>617</v>
      </c>
    </row>
    <row r="25" ht="13.5">
      <c r="B25" s="123" t="s">
        <v>618</v>
      </c>
    </row>
    <row r="27" ht="13.5">
      <c r="B27" s="123" t="s">
        <v>299</v>
      </c>
    </row>
    <row r="28" ht="13.5">
      <c r="B28" s="123" t="s">
        <v>300</v>
      </c>
    </row>
    <row r="29" ht="13.5">
      <c r="B29" s="123" t="s">
        <v>301</v>
      </c>
    </row>
    <row r="30" ht="13.5">
      <c r="B30" s="123"/>
    </row>
    <row r="31" ht="13.5">
      <c r="B31" s="123" t="s">
        <v>302</v>
      </c>
    </row>
    <row r="32" ht="13.5">
      <c r="B32" s="123" t="s">
        <v>303</v>
      </c>
    </row>
    <row r="34" ht="13.5">
      <c r="B34" t="s">
        <v>304</v>
      </c>
    </row>
    <row r="36" ht="13.5">
      <c r="B36" t="s">
        <v>305</v>
      </c>
    </row>
    <row r="38" ht="13.5">
      <c r="B38" t="s">
        <v>308</v>
      </c>
    </row>
    <row r="39" ht="13.5">
      <c r="B39" t="s">
        <v>309</v>
      </c>
    </row>
    <row r="40" ht="13.5">
      <c r="B40" t="s">
        <v>310</v>
      </c>
    </row>
    <row r="44" ht="13.5">
      <c r="B44" s="132" t="s">
        <v>312</v>
      </c>
    </row>
    <row r="45" ht="13.5">
      <c r="B45" t="s">
        <v>372</v>
      </c>
    </row>
    <row r="46" ht="13.5">
      <c r="B46" t="s">
        <v>373</v>
      </c>
    </row>
    <row r="47" ht="13.5">
      <c r="B47" t="s">
        <v>374</v>
      </c>
    </row>
    <row r="48" ht="13.5">
      <c r="B48" t="s">
        <v>633</v>
      </c>
    </row>
    <row r="49" ht="13.5">
      <c r="B49" t="s">
        <v>375</v>
      </c>
    </row>
    <row r="50" ht="13.5">
      <c r="B50" t="s">
        <v>376</v>
      </c>
    </row>
    <row r="52" ht="13.5">
      <c r="B52" t="s">
        <v>377</v>
      </c>
    </row>
    <row r="53" ht="13.5">
      <c r="B53" t="s">
        <v>378</v>
      </c>
    </row>
    <row r="54" ht="13.5">
      <c r="B54" t="s">
        <v>379</v>
      </c>
    </row>
    <row r="55" ht="13.5">
      <c r="B55" t="s">
        <v>380</v>
      </c>
    </row>
    <row r="56" ht="13.5">
      <c r="B56" t="s">
        <v>381</v>
      </c>
    </row>
    <row r="57" ht="13.5">
      <c r="B57" t="s">
        <v>382</v>
      </c>
    </row>
    <row r="59" ht="13.5">
      <c r="B59" t="s">
        <v>498</v>
      </c>
    </row>
    <row r="60" ht="13.5">
      <c r="B60" t="s">
        <v>499</v>
      </c>
    </row>
    <row r="61" ht="13.5">
      <c r="B61" t="s">
        <v>500</v>
      </c>
    </row>
    <row r="62" ht="13.5">
      <c r="B62" t="s">
        <v>616</v>
      </c>
    </row>
    <row r="64" ht="13.5">
      <c r="B64" t="s">
        <v>619</v>
      </c>
    </row>
    <row r="65" ht="13.5">
      <c r="B65" t="s">
        <v>620</v>
      </c>
    </row>
    <row r="66" ht="13.5">
      <c r="B66" t="s">
        <v>621</v>
      </c>
    </row>
    <row r="67" ht="13.5">
      <c r="B67" t="s">
        <v>622</v>
      </c>
    </row>
    <row r="69" ht="13.5">
      <c r="B69" t="s">
        <v>623</v>
      </c>
    </row>
    <row r="71" ht="13.5">
      <c r="B71" t="s">
        <v>625</v>
      </c>
    </row>
    <row r="72" ht="13.5">
      <c r="B72" t="s">
        <v>624</v>
      </c>
    </row>
    <row r="73" ht="13.5">
      <c r="B73" t="s">
        <v>626</v>
      </c>
    </row>
    <row r="74" ht="13.5">
      <c r="B74" t="s">
        <v>627</v>
      </c>
    </row>
    <row r="75" ht="13.5">
      <c r="B75" t="s">
        <v>628</v>
      </c>
    </row>
    <row r="77" ht="13.5">
      <c r="B77" t="s">
        <v>629</v>
      </c>
    </row>
    <row r="78" ht="13.5">
      <c r="B78" t="s">
        <v>630</v>
      </c>
    </row>
    <row r="79" ht="13.5">
      <c r="B79" t="s">
        <v>631</v>
      </c>
    </row>
    <row r="80" ht="13.5">
      <c r="B80" t="s">
        <v>632</v>
      </c>
    </row>
    <row r="82" ht="13.5">
      <c r="B82" t="s">
        <v>634</v>
      </c>
    </row>
    <row r="84" ht="13.5">
      <c r="B84" t="s">
        <v>635</v>
      </c>
    </row>
  </sheetData>
  <sheetProtection/>
  <printOptions/>
  <pageMargins left="0.75" right="0.75" top="1" bottom="1" header="0.5111111111111111" footer="0.5111111111111111"/>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B4:F43"/>
  <sheetViews>
    <sheetView zoomScaleSheetLayoutView="100" zoomScalePageLayoutView="0" workbookViewId="0" topLeftCell="A1">
      <selection activeCell="A1" sqref="A1"/>
    </sheetView>
  </sheetViews>
  <sheetFormatPr defaultColWidth="8.875" defaultRowHeight="13.5"/>
  <sheetData>
    <row r="4" spans="2:6" ht="13.5">
      <c r="B4" t="s">
        <v>111</v>
      </c>
      <c r="C4" t="s">
        <v>57</v>
      </c>
      <c r="D4" s="123" t="s">
        <v>112</v>
      </c>
      <c r="E4" s="123" t="s">
        <v>113</v>
      </c>
      <c r="F4" s="123" t="s">
        <v>114</v>
      </c>
    </row>
    <row r="5" spans="2:4" ht="13.5">
      <c r="B5" t="s">
        <v>110</v>
      </c>
      <c r="C5" t="s">
        <v>57</v>
      </c>
      <c r="D5" s="123" t="s">
        <v>112</v>
      </c>
    </row>
    <row r="6" ht="13.5">
      <c r="C6" t="s">
        <v>58</v>
      </c>
    </row>
    <row r="12" spans="2:5" ht="13.5">
      <c r="B12" t="s">
        <v>59</v>
      </c>
      <c r="D12" t="s">
        <v>57</v>
      </c>
      <c r="E12" s="113" t="s">
        <v>66</v>
      </c>
    </row>
    <row r="13" spans="4:5" ht="13.5">
      <c r="D13" t="s">
        <v>60</v>
      </c>
      <c r="E13" s="113" t="s">
        <v>66</v>
      </c>
    </row>
    <row r="16" spans="2:5" ht="13.5">
      <c r="B16" t="s">
        <v>61</v>
      </c>
      <c r="E16" t="s">
        <v>57</v>
      </c>
    </row>
    <row r="17" ht="13.5">
      <c r="E17" t="s">
        <v>62</v>
      </c>
    </row>
    <row r="21" ht="13.5">
      <c r="B21" s="132" t="s">
        <v>122</v>
      </c>
    </row>
    <row r="22" ht="13.5">
      <c r="B22" t="s">
        <v>115</v>
      </c>
    </row>
    <row r="23" ht="13.5">
      <c r="B23" s="133" t="s">
        <v>116</v>
      </c>
    </row>
    <row r="24" ht="13.5">
      <c r="B24" t="s">
        <v>117</v>
      </c>
    </row>
    <row r="25" ht="13.5">
      <c r="B25" s="133" t="s">
        <v>118</v>
      </c>
    </row>
    <row r="27" ht="13.5">
      <c r="B27" s="136" t="s">
        <v>121</v>
      </c>
    </row>
    <row r="29" ht="13.5">
      <c r="B29" t="s">
        <v>86</v>
      </c>
    </row>
    <row r="30" ht="13.5">
      <c r="B30" t="s">
        <v>119</v>
      </c>
    </row>
    <row r="31" ht="13.5">
      <c r="B31" t="s">
        <v>120</v>
      </c>
    </row>
    <row r="34" ht="13.5">
      <c r="B34" s="132" t="s">
        <v>123</v>
      </c>
    </row>
    <row r="35" ht="13.5">
      <c r="B35" t="s">
        <v>124</v>
      </c>
    </row>
    <row r="36" ht="13.5">
      <c r="B36" s="132"/>
    </row>
    <row r="37" ht="13.5">
      <c r="B37" t="s">
        <v>121</v>
      </c>
    </row>
    <row r="39" ht="13.5">
      <c r="B39" t="s">
        <v>125</v>
      </c>
    </row>
    <row r="40" ht="13.5">
      <c r="B40" s="133" t="s">
        <v>126</v>
      </c>
    </row>
    <row r="42" ht="13.5">
      <c r="B42" t="s">
        <v>129</v>
      </c>
    </row>
    <row r="43" ht="13.5">
      <c r="B43" t="s">
        <v>131</v>
      </c>
    </row>
  </sheetData>
  <sheetProtection/>
  <printOptions/>
  <pageMargins left="0.75" right="0.75" top="1" bottom="1"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Kingsoft Office 2010</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YUUYA YAMAMURA</dc:creator>
  <cp:keywords/>
  <dc:description/>
  <cp:lastModifiedBy>yoko</cp:lastModifiedBy>
  <cp:lastPrinted>1899-12-30T00:00:00Z</cp:lastPrinted>
  <dcterms:created xsi:type="dcterms:W3CDTF">2013-10-09T23:04:08Z</dcterms:created>
  <dcterms:modified xsi:type="dcterms:W3CDTF">2015-09-01T06:29:00Z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