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70" windowWidth="26130" windowHeight="11310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<sst xmlns="http://schemas.openxmlformats.org/spreadsheetml/2006/main" count="154" uniqueCount="102">
  <si>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</si>
  <si>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</si>
  <si>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</si>
  <si>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</si>
  <si>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</si>
  <si>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</si>
  <si>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</si>
  <si>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</si>
  <si>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</si>
  <si>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</si>
  <si>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</si>
  <si>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</si>
  <si>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</si>
  <si>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</si>
  <si>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</si>
  <si>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</si>
  <si>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</si>
  <si>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</si>
  <si>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</si>
  <si>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</si>
  <si>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</si>
  <si>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</si>
  <si>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売買</t>
  </si>
  <si>
    <t>時間足</t>
  </si>
  <si>
    <t>エントリー日時</t>
  </si>
  <si>
    <t>エントリー価格</t>
  </si>
  <si>
    <t>決済日時</t>
  </si>
  <si>
    <t>決済価格</t>
  </si>
  <si>
    <t>合計</t>
  </si>
  <si>
    <t>トレード詳細データ</t>
  </si>
  <si>
    <t>通貨ペア別エントリー回数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</si>
  <si>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</si>
  <si>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</si>
  <si>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</si>
  <si>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</si>
  <si>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</si>
  <si>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</si>
  <si>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</si>
  <si>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</si>
  <si>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</si>
  <si>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</si>
  <si>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</si>
  <si>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</si>
  <si>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</si>
  <si>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</si>
  <si>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</si>
  <si>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</si>
  <si>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</si>
  <si>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</si>
  <si>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</si>
  <si>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</si>
  <si>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</si>
  <si>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</si>
  <si>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</si>
  <si>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</si>
  <si>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</si>
  <si>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</si>
  <si>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</si>
  <si>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</si>
  <si>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</si>
  <si>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</si>
  <si>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</si>
  <si>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</si>
  <si>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</si>
  <si>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</si>
  <si>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</si>
  <si>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ロスカット幅(pips)</t>
  </si>
  <si>
    <t>万通貨</t>
  </si>
  <si>
    <t>現合計</t>
  </si>
  <si>
    <t>1pips(円)</t>
  </si>
  <si>
    <t>結果資金</t>
  </si>
  <si>
    <t>ストップ設定価格</t>
  </si>
  <si>
    <t>ロット</t>
  </si>
  <si>
    <t>買</t>
  </si>
  <si>
    <t>損益金額　</t>
  </si>
  <si>
    <t>損失上限</t>
  </si>
  <si>
    <t>時間足</t>
  </si>
  <si>
    <t>通貨ペア</t>
  </si>
  <si>
    <t>右側円の場合=100</t>
  </si>
  <si>
    <t>ドル円レート=今のレート</t>
  </si>
  <si>
    <t>USD/JPY、EUR/JPY</t>
  </si>
  <si>
    <t>EUR/USD、GBP/USD</t>
  </si>
  <si>
    <t>ロス(％)</t>
  </si>
  <si>
    <t>売</t>
  </si>
  <si>
    <t>決済ルール</t>
  </si>
  <si>
    <t>損益pips</t>
  </si>
  <si>
    <t>現在のドル円レート</t>
  </si>
  <si>
    <t>EBでストップ移動</t>
  </si>
  <si>
    <t>４H</t>
  </si>
  <si>
    <t>ダイバージェンス後割れて戻ってからEB.PB</t>
  </si>
  <si>
    <t>ポンド円</t>
  </si>
  <si>
    <t>１H</t>
  </si>
  <si>
    <t>１H</t>
  </si>
  <si>
    <t>エントリーなし</t>
  </si>
  <si>
    <t>１H</t>
  </si>
  <si>
    <t>今回のダイバージェンス検証はサポレジ等ブレイク後、戻ってPBEBを意識しました。</t>
  </si>
  <si>
    <t>ストップの設定場所があっているか見て頂けると嬉しいです。</t>
  </si>
  <si>
    <t>ダイバージェンスの時のストップ位置は比較的幅が大きいので</t>
  </si>
  <si>
    <t>大きくとるのは難しいと感じます。</t>
  </si>
  <si>
    <t>明日からデモをやっていきます！</t>
  </si>
  <si>
    <t>デモで同じようにトレードして勝率を出せるように</t>
  </si>
  <si>
    <t>４H足⇒1H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</si>
</sst>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_ "/>
    <numFmt numFmtId="190" formatCode="0_ "/>
    <numFmt numFmtId="191" formatCode="#,##0.0;#,##0.0"/>
    <numFmt numFmtId="192" formatCode="#,##0;#,##0"/>
    <numFmt numFmtId="193" formatCode="0.0;[Red]0.0"/>
    <numFmt numFmtId="194" formatCode="0_);\(0\)"/>
    <numFmt numFmtId="195" formatCode="0.00;[Red]0.00"/>
    <numFmt numFmtId="196" formatCode="#,##0.00;#,##0.00"/>
    <numFmt numFmtId="197" formatCode="#,##0.0_ "/>
    <numFmt numFmtId="198" formatCode="0_ ;[Red]\-0\ "/>
    <numFmt numFmtId="199" formatCode="0;&quot;△ &quot;0"/>
    <numFmt numFmtId="200" formatCode="#,##0;&quot;▲ &quot;#,##0"/>
    <numFmt numFmtId="201" formatCode="#,##0_ "/>
    <numFmt numFmtId="202" formatCode="###,000;###,000"/>
    <numFmt numFmtId="203" formatCode="0.0_ ;[Red]\-0.0\ "/>
    <numFmt numFmtId="204" formatCode="0.000_ "/>
    <numFmt numFmtId="205" formatCode="#,##0;[Red]#,##0"/>
    <numFmt numFmtId="206" formatCode="0.000&quot; &quot;"/>
    <numFmt numFmtId="207" formatCode="#,##0.0;[Red]\-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¥&quot;#,##0.0;&quot;¥&quot;\-#,##0.0"/>
    <numFmt numFmtId="213" formatCode="#,##0.0_ ;[Red]\-#,##0.0\ "/>
  </numFmts>
  <fonts count="54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26"/>
      <color indexed="8"/>
      <name val="ＭＳ Ｐゴシック"/>
      <family val="3"/>
    </font>
    <font>
      <sz val="36"/>
      <color indexed="8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006100"/>
      <name val="Calibri"/>
      <family val="3"/>
    </font>
    <font>
      <sz val="11"/>
      <color theme="4" tint="-0.24997000396251678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00"/>
      <name val="ＭＳ Ｐゴシック"/>
      <family val="3"/>
    </font>
    <font>
      <b/>
      <sz val="11"/>
      <color rgb="FF000000"/>
      <name val="ＭＳ Ｐゴシック"/>
      <family val="3"/>
    </font>
    <font>
      <sz val="2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B7B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4" fillId="34" borderId="26" xfId="61" applyNumberFormat="1" applyFont="1" applyFill="1" applyBorder="1" applyAlignment="1" applyProtection="1">
      <alignment vertical="center"/>
      <protection/>
    </xf>
    <xf numFmtId="182" fontId="4" fillId="34" borderId="27" xfId="61" applyNumberFormat="1" applyFont="1" applyFill="1" applyBorder="1" applyAlignment="1" applyProtection="1">
      <alignment vertical="center"/>
      <protection/>
    </xf>
    <xf numFmtId="9" fontId="4" fillId="0" borderId="28" xfId="61" applyNumberFormat="1" applyFont="1" applyFill="1" applyBorder="1" applyAlignment="1" applyProtection="1">
      <alignment horizontal="center" vertical="center"/>
      <protection/>
    </xf>
    <xf numFmtId="5" fontId="4" fillId="0" borderId="21" xfId="61" applyNumberFormat="1" applyFont="1" applyFill="1" applyBorder="1" applyAlignment="1" applyProtection="1">
      <alignment horizontal="center" vertical="center"/>
      <protection/>
    </xf>
    <xf numFmtId="5" fontId="4" fillId="0" borderId="0" xfId="61" applyNumberFormat="1" applyFont="1" applyFill="1" applyBorder="1" applyAlignment="1" applyProtection="1">
      <alignment horizontal="center" vertical="center"/>
      <protection/>
    </xf>
    <xf numFmtId="6" fontId="4" fillId="34" borderId="27" xfId="61" applyNumberFormat="1" applyFont="1" applyFill="1" applyBorder="1" applyAlignment="1" applyProtection="1">
      <alignment vertical="center"/>
      <protection/>
    </xf>
    <xf numFmtId="6" fontId="4" fillId="0" borderId="2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5" fillId="0" borderId="17" xfId="61" applyNumberFormat="1" applyFont="1" applyFill="1" applyBorder="1" applyAlignment="1" applyProtection="1">
      <alignment horizontal="center" vertical="center"/>
      <protection/>
    </xf>
    <xf numFmtId="55" fontId="0" fillId="0" borderId="17" xfId="0" applyNumberFormat="1" applyFont="1" applyFill="1" applyBorder="1" applyAlignment="1" applyProtection="1">
      <alignment horizontal="center" vertical="center"/>
      <protection/>
    </xf>
    <xf numFmtId="55" fontId="5" fillId="0" borderId="30" xfId="61" applyNumberFormat="1" applyFont="1" applyFill="1" applyBorder="1" applyAlignment="1" applyProtection="1">
      <alignment horizontal="center" vertical="center"/>
      <protection/>
    </xf>
    <xf numFmtId="0" fontId="4" fillId="34" borderId="31" xfId="61" applyNumberFormat="1" applyFont="1" applyFill="1" applyBorder="1" applyAlignment="1" applyProtection="1">
      <alignment horizontal="center" vertical="center"/>
      <protection/>
    </xf>
    <xf numFmtId="0" fontId="4" fillId="34" borderId="32" xfId="61" applyNumberFormat="1" applyFont="1" applyFill="1" applyBorder="1" applyAlignment="1" applyProtection="1">
      <alignment horizontal="center" vertical="center" wrapText="1"/>
      <protection/>
    </xf>
    <xf numFmtId="0" fontId="4" fillId="34" borderId="32" xfId="61" applyNumberFormat="1" applyFont="1" applyFill="1" applyBorder="1" applyAlignment="1" applyProtection="1">
      <alignment horizontal="center" vertical="center"/>
      <protection/>
    </xf>
    <xf numFmtId="182" fontId="4" fillId="34" borderId="32" xfId="61" applyNumberFormat="1" applyFont="1" applyFill="1" applyBorder="1" applyAlignment="1" applyProtection="1">
      <alignment horizontal="center" vertical="center" wrapText="1"/>
      <protection/>
    </xf>
    <xf numFmtId="183" fontId="4" fillId="34" borderId="32" xfId="61" applyNumberFormat="1" applyFont="1" applyFill="1" applyBorder="1" applyAlignment="1" applyProtection="1">
      <alignment horizontal="center" vertical="center"/>
      <protection/>
    </xf>
    <xf numFmtId="0" fontId="4" fillId="34" borderId="33" xfId="61" applyNumberFormat="1" applyFont="1" applyFill="1" applyBorder="1" applyAlignment="1" applyProtection="1">
      <alignment horizontal="center" vertical="center" wrapText="1"/>
      <protection/>
    </xf>
    <xf numFmtId="182" fontId="4" fillId="34" borderId="34" xfId="61" applyNumberFormat="1" applyFont="1" applyFill="1" applyBorder="1" applyAlignment="1" applyProtection="1">
      <alignment vertical="center"/>
      <protection/>
    </xf>
    <xf numFmtId="184" fontId="4" fillId="34" borderId="35" xfId="61" applyNumberFormat="1" applyFont="1" applyFill="1" applyBorder="1" applyAlignment="1" applyProtection="1">
      <alignment horizontal="center" vertical="center"/>
      <protection/>
    </xf>
    <xf numFmtId="184" fontId="5" fillId="0" borderId="36" xfId="61" applyNumberFormat="1" applyFont="1" applyFill="1" applyBorder="1" applyAlignment="1" applyProtection="1">
      <alignment horizontal="right" vertical="center"/>
      <protection/>
    </xf>
    <xf numFmtId="184" fontId="5" fillId="0" borderId="37" xfId="61" applyNumberFormat="1" applyFont="1" applyFill="1" applyBorder="1" applyAlignment="1" applyProtection="1">
      <alignment horizontal="right" vertical="center"/>
      <protection/>
    </xf>
    <xf numFmtId="185" fontId="5" fillId="0" borderId="37" xfId="61" applyNumberFormat="1" applyFont="1" applyFill="1" applyBorder="1" applyAlignment="1" applyProtection="1">
      <alignment horizontal="right" vertical="center"/>
      <protection/>
    </xf>
    <xf numFmtId="186" fontId="5" fillId="0" borderId="37" xfId="61" applyNumberFormat="1" applyFont="1" applyFill="1" applyBorder="1" applyAlignment="1" applyProtection="1">
      <alignment horizontal="right" vertical="center"/>
      <protection/>
    </xf>
    <xf numFmtId="187" fontId="5" fillId="0" borderId="37" xfId="61" applyNumberFormat="1" applyFont="1" applyFill="1" applyBorder="1" applyAlignment="1" applyProtection="1">
      <alignment vertical="center"/>
      <protection/>
    </xf>
    <xf numFmtId="184" fontId="5" fillId="0" borderId="37" xfId="61" applyNumberFormat="1" applyFont="1" applyFill="1" applyBorder="1" applyAlignment="1" applyProtection="1">
      <alignment vertical="center"/>
      <protection/>
    </xf>
    <xf numFmtId="181" fontId="5" fillId="0" borderId="37" xfId="61" applyNumberFormat="1" applyFont="1" applyFill="1" applyBorder="1" applyAlignment="1" applyProtection="1">
      <alignment vertical="center"/>
      <protection/>
    </xf>
    <xf numFmtId="181" fontId="5" fillId="0" borderId="38" xfId="61" applyNumberFormat="1" applyFont="1" applyFill="1" applyBorder="1" applyAlignment="1" applyProtection="1">
      <alignment vertical="center"/>
      <protection/>
    </xf>
    <xf numFmtId="184" fontId="0" fillId="0" borderId="36" xfId="0" applyNumberFormat="1" applyFont="1" applyFill="1" applyBorder="1" applyAlignment="1" applyProtection="1">
      <alignment vertical="center"/>
      <protection/>
    </xf>
    <xf numFmtId="184" fontId="0" fillId="0" borderId="37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4" fontId="0" fillId="0" borderId="39" xfId="0" applyNumberFormat="1" applyFont="1" applyFill="1" applyBorder="1" applyAlignment="1" applyProtection="1">
      <alignment vertical="center"/>
      <protection/>
    </xf>
    <xf numFmtId="184" fontId="0" fillId="0" borderId="40" xfId="0" applyNumberFormat="1" applyFont="1" applyFill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185" fontId="5" fillId="0" borderId="40" xfId="61" applyNumberFormat="1" applyFont="1" applyFill="1" applyBorder="1" applyAlignment="1" applyProtection="1">
      <alignment horizontal="right" vertical="center"/>
      <protection/>
    </xf>
    <xf numFmtId="187" fontId="5" fillId="0" borderId="40" xfId="61" applyNumberFormat="1" applyFont="1" applyFill="1" applyBorder="1" applyAlignment="1" applyProtection="1">
      <alignment vertical="center"/>
      <protection/>
    </xf>
    <xf numFmtId="184" fontId="5" fillId="0" borderId="40" xfId="61" applyNumberFormat="1" applyFont="1" applyFill="1" applyBorder="1" applyAlignment="1" applyProtection="1">
      <alignment vertical="center"/>
      <protection/>
    </xf>
    <xf numFmtId="181" fontId="5" fillId="0" borderId="40" xfId="61" applyNumberFormat="1" applyFont="1" applyFill="1" applyBorder="1" applyAlignment="1" applyProtection="1">
      <alignment vertical="center"/>
      <protection/>
    </xf>
    <xf numFmtId="181" fontId="5" fillId="0" borderId="41" xfId="61" applyNumberFormat="1" applyFont="1" applyFill="1" applyBorder="1" applyAlignment="1" applyProtection="1">
      <alignment vertical="center"/>
      <protection/>
    </xf>
    <xf numFmtId="6" fontId="5" fillId="0" borderId="37" xfId="61" applyNumberFormat="1" applyFont="1" applyFill="1" applyBorder="1" applyAlignment="1" applyProtection="1">
      <alignment horizontal="right" vertical="center"/>
      <protection/>
    </xf>
    <xf numFmtId="6" fontId="5" fillId="0" borderId="40" xfId="61" applyNumberFormat="1" applyFont="1" applyFill="1" applyBorder="1" applyAlignment="1" applyProtection="1">
      <alignment horizontal="right" vertical="center"/>
      <protection/>
    </xf>
    <xf numFmtId="55" fontId="0" fillId="0" borderId="42" xfId="0" applyNumberFormat="1" applyFont="1" applyFill="1" applyBorder="1" applyAlignment="1" applyProtection="1">
      <alignment horizontal="center" vertical="center"/>
      <protection/>
    </xf>
    <xf numFmtId="5" fontId="1" fillId="0" borderId="43" xfId="0" applyNumberFormat="1" applyFont="1" applyFill="1" applyBorder="1" applyAlignment="1" applyProtection="1">
      <alignment vertical="center"/>
      <protection/>
    </xf>
    <xf numFmtId="184" fontId="1" fillId="0" borderId="44" xfId="0" applyNumberFormat="1" applyFont="1" applyFill="1" applyBorder="1" applyAlignment="1" applyProtection="1">
      <alignment vertical="center"/>
      <protection/>
    </xf>
    <xf numFmtId="6" fontId="1" fillId="0" borderId="44" xfId="0" applyNumberFormat="1" applyFont="1" applyFill="1" applyBorder="1" applyAlignment="1" applyProtection="1">
      <alignment vertical="center"/>
      <protection/>
    </xf>
    <xf numFmtId="186" fontId="1" fillId="0" borderId="44" xfId="0" applyNumberFormat="1" applyFont="1" applyFill="1" applyBorder="1" applyAlignment="1" applyProtection="1">
      <alignment vertical="center"/>
      <protection/>
    </xf>
    <xf numFmtId="185" fontId="1" fillId="0" borderId="44" xfId="0" applyNumberFormat="1" applyFont="1" applyFill="1" applyBorder="1" applyAlignment="1" applyProtection="1">
      <alignment vertical="center"/>
      <protection/>
    </xf>
    <xf numFmtId="187" fontId="6" fillId="0" borderId="44" xfId="0" applyNumberFormat="1" applyFont="1" applyFill="1" applyBorder="1" applyAlignment="1" applyProtection="1">
      <alignment vertical="center"/>
      <protection/>
    </xf>
    <xf numFmtId="181" fontId="1" fillId="0" borderId="45" xfId="0" applyNumberFormat="1" applyFont="1" applyFill="1" applyBorder="1" applyAlignment="1" applyProtection="1">
      <alignment vertical="center"/>
      <protection/>
    </xf>
    <xf numFmtId="181" fontId="1" fillId="0" borderId="46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0" fontId="7" fillId="0" borderId="38" xfId="0" applyNumberFormat="1" applyFont="1" applyFill="1" applyBorder="1" applyAlignment="1" applyProtection="1">
      <alignment vertical="center"/>
      <protection/>
    </xf>
    <xf numFmtId="0" fontId="4" fillId="35" borderId="0" xfId="61" applyNumberFormat="1" applyFont="1" applyFill="1" applyBorder="1" applyAlignment="1" applyProtection="1">
      <alignment vertical="center"/>
      <protection/>
    </xf>
    <xf numFmtId="5" fontId="4" fillId="35" borderId="0" xfId="61" applyNumberFormat="1" applyFont="1" applyFill="1" applyBorder="1" applyAlignment="1" applyProtection="1">
      <alignment horizontal="center" vertical="center"/>
      <protection/>
    </xf>
    <xf numFmtId="182" fontId="4" fillId="35" borderId="0" xfId="61" applyNumberFormat="1" applyFont="1" applyFill="1" applyBorder="1" applyAlignment="1" applyProtection="1">
      <alignment vertical="center"/>
      <protection/>
    </xf>
    <xf numFmtId="6" fontId="4" fillId="35" borderId="0" xfId="61" applyNumberFormat="1" applyFont="1" applyFill="1" applyBorder="1" applyAlignment="1" applyProtection="1">
      <alignment vertical="center"/>
      <protection/>
    </xf>
    <xf numFmtId="6" fontId="4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4" fillId="35" borderId="48" xfId="61" applyNumberFormat="1" applyFont="1" applyFill="1" applyBorder="1" applyAlignment="1" applyProtection="1">
      <alignment vertical="center"/>
      <protection/>
    </xf>
    <xf numFmtId="5" fontId="4" fillId="35" borderId="48" xfId="61" applyNumberFormat="1" applyFont="1" applyFill="1" applyBorder="1" applyAlignment="1" applyProtection="1">
      <alignment horizontal="center" vertical="center"/>
      <protection/>
    </xf>
    <xf numFmtId="182" fontId="4" fillId="35" borderId="48" xfId="61" applyNumberFormat="1" applyFont="1" applyFill="1" applyBorder="1" applyAlignment="1" applyProtection="1">
      <alignment vertical="center"/>
      <protection/>
    </xf>
    <xf numFmtId="6" fontId="4" fillId="35" borderId="48" xfId="61" applyNumberFormat="1" applyFont="1" applyFill="1" applyBorder="1" applyAlignment="1" applyProtection="1">
      <alignment vertical="center"/>
      <protection/>
    </xf>
    <xf numFmtId="6" fontId="4" fillId="35" borderId="48" xfId="61" applyNumberFormat="1" applyFont="1" applyFill="1" applyBorder="1" applyAlignment="1" applyProtection="1">
      <alignment horizontal="center" vertical="center"/>
      <protection/>
    </xf>
    <xf numFmtId="0" fontId="0" fillId="35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0" fontId="0" fillId="0" borderId="49" xfId="0" applyNumberFormat="1" applyFont="1" applyFill="1" applyBorder="1" applyAlignment="1" applyProtection="1">
      <alignment vertical="center"/>
      <protection/>
    </xf>
    <xf numFmtId="5" fontId="5" fillId="36" borderId="49" xfId="61" applyNumberFormat="1" applyFont="1" applyFill="1" applyBorder="1" applyAlignment="1" applyProtection="1">
      <alignment horizontal="center"/>
      <protection/>
    </xf>
    <xf numFmtId="5" fontId="4" fillId="0" borderId="49" xfId="61" applyNumberFormat="1" applyFont="1" applyFill="1" applyBorder="1" applyAlignment="1" applyProtection="1">
      <alignment horizontal="center" vertical="center"/>
      <protection/>
    </xf>
    <xf numFmtId="0" fontId="4" fillId="0" borderId="49" xfId="61" applyNumberFormat="1" applyFont="1" applyFill="1" applyBorder="1" applyAlignment="1" applyProtection="1">
      <alignment/>
      <protection/>
    </xf>
    <xf numFmtId="5" fontId="5" fillId="36" borderId="50" xfId="61" applyNumberFormat="1" applyFont="1" applyFill="1" applyBorder="1" applyAlignment="1" applyProtection="1">
      <alignment horizontal="center"/>
      <protection/>
    </xf>
    <xf numFmtId="0" fontId="8" fillId="34" borderId="51" xfId="61" applyNumberFormat="1" applyFont="1" applyFill="1" applyBorder="1" applyAlignment="1" applyProtection="1">
      <alignment horizontal="center" vertical="center"/>
      <protection/>
    </xf>
    <xf numFmtId="5" fontId="8" fillId="35" borderId="48" xfId="61" applyNumberFormat="1" applyFont="1" applyFill="1" applyBorder="1" applyAlignment="1" applyProtection="1">
      <alignment horizontal="center" vertical="center"/>
      <protection/>
    </xf>
    <xf numFmtId="9" fontId="4" fillId="35" borderId="52" xfId="61" applyNumberFormat="1" applyFont="1" applyFill="1" applyBorder="1" applyAlignment="1" applyProtection="1">
      <alignment horizontal="center" vertical="center"/>
      <protection/>
    </xf>
    <xf numFmtId="5" fontId="5" fillId="36" borderId="53" xfId="61" applyNumberFormat="1" applyFont="1" applyFill="1" applyBorder="1" applyAlignment="1" applyProtection="1">
      <alignment horizontal="center"/>
      <protection/>
    </xf>
    <xf numFmtId="0" fontId="0" fillId="0" borderId="54" xfId="0" applyNumberFormat="1" applyFont="1" applyFill="1" applyBorder="1" applyAlignment="1" applyProtection="1">
      <alignment vertical="center"/>
      <protection/>
    </xf>
    <xf numFmtId="0" fontId="0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4" fillId="34" borderId="27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57" xfId="62" applyBorder="1">
      <alignment vertical="center"/>
      <protection/>
    </xf>
    <xf numFmtId="0" fontId="1" fillId="0" borderId="58" xfId="62" applyBorder="1">
      <alignment vertical="center"/>
      <protection/>
    </xf>
    <xf numFmtId="0" fontId="1" fillId="0" borderId="59" xfId="62" applyBorder="1">
      <alignment vertical="center"/>
      <protection/>
    </xf>
    <xf numFmtId="0" fontId="1" fillId="0" borderId="60" xfId="62" applyBorder="1">
      <alignment vertical="center"/>
      <protection/>
    </xf>
    <xf numFmtId="0" fontId="1" fillId="0" borderId="0" xfId="62" applyBorder="1">
      <alignment vertical="center"/>
      <protection/>
    </xf>
    <xf numFmtId="0" fontId="3" fillId="33" borderId="61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0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6" fillId="32" borderId="22" xfId="63" applyBorder="1" applyAlignment="1">
      <alignment horizontal="center" vertical="center"/>
    </xf>
    <xf numFmtId="5" fontId="46" fillId="32" borderId="22" xfId="63" applyNumberFormat="1" applyBorder="1" applyAlignment="1">
      <alignment horizontal="center" vertical="center"/>
    </xf>
    <xf numFmtId="0" fontId="46" fillId="32" borderId="22" xfId="63" applyNumberFormat="1" applyBorder="1" applyAlignment="1" applyProtection="1">
      <alignment horizontal="center" vertical="center"/>
      <protection/>
    </xf>
    <xf numFmtId="191" fontId="46" fillId="32" borderId="22" xfId="63" applyNumberFormat="1" applyBorder="1" applyAlignment="1">
      <alignment horizontal="center" vertical="center"/>
    </xf>
    <xf numFmtId="192" fontId="46" fillId="32" borderId="22" xfId="63" applyNumberFormat="1" applyBorder="1" applyAlignment="1">
      <alignment horizontal="center" vertical="center"/>
    </xf>
    <xf numFmtId="207" fontId="0" fillId="0" borderId="0" xfId="0" applyNumberFormat="1" applyAlignment="1">
      <alignment vertical="center"/>
    </xf>
    <xf numFmtId="207" fontId="46" fillId="32" borderId="22" xfId="63" applyNumberFormat="1" applyBorder="1" applyAlignment="1" applyProtection="1">
      <alignment horizontal="center" vertical="center"/>
      <protection/>
    </xf>
    <xf numFmtId="20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ill="1" applyBorder="1" applyAlignment="1" applyProtection="1">
      <alignment vertical="center"/>
      <protection/>
    </xf>
    <xf numFmtId="207" fontId="2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 vertical="center"/>
    </xf>
    <xf numFmtId="5" fontId="0" fillId="0" borderId="0" xfId="0" applyNumberFormat="1" applyBorder="1" applyAlignment="1">
      <alignment vertical="center"/>
    </xf>
    <xf numFmtId="19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07" fontId="0" fillId="0" borderId="0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205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65" xfId="0" applyNumberFormat="1" applyFont="1" applyFill="1" applyBorder="1" applyAlignment="1" applyProtection="1">
      <alignment vertical="center"/>
      <protection/>
    </xf>
    <xf numFmtId="0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Alignment="1">
      <alignment vertical="center"/>
    </xf>
    <xf numFmtId="14" fontId="0" fillId="0" borderId="0" xfId="0" applyNumberFormat="1" applyFont="1" applyBorder="1" applyAlignment="1">
      <alignment vertical="top" wrapText="1"/>
    </xf>
    <xf numFmtId="186" fontId="0" fillId="0" borderId="10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86" fontId="46" fillId="32" borderId="22" xfId="63" applyNumberFormat="1" applyBorder="1" applyAlignment="1" applyProtection="1">
      <alignment horizontal="center" vertical="center"/>
      <protection/>
    </xf>
    <xf numFmtId="186" fontId="0" fillId="0" borderId="0" xfId="0" applyNumberFormat="1" applyBorder="1" applyAlignment="1">
      <alignment vertical="center"/>
    </xf>
    <xf numFmtId="0" fontId="46" fillId="8" borderId="22" xfId="63" applyNumberFormat="1" applyFill="1" applyBorder="1" applyAlignment="1" applyProtection="1">
      <alignment horizontal="center" vertical="center"/>
      <protection/>
    </xf>
    <xf numFmtId="0" fontId="48" fillId="8" borderId="22" xfId="63" applyNumberFormat="1" applyFont="1" applyFill="1" applyBorder="1" applyAlignment="1" applyProtection="1">
      <alignment horizontal="center" vertical="center"/>
      <protection/>
    </xf>
    <xf numFmtId="0" fontId="46" fillId="37" borderId="22" xfId="63" applyNumberFormat="1" applyFill="1" applyBorder="1" applyAlignment="1" applyProtection="1">
      <alignment horizontal="center" vertical="center"/>
      <protection/>
    </xf>
    <xf numFmtId="0" fontId="48" fillId="37" borderId="22" xfId="63" applyNumberFormat="1" applyFont="1" applyFill="1" applyBorder="1" applyAlignment="1" applyProtection="1">
      <alignment horizontal="center" vertical="center"/>
      <protection/>
    </xf>
    <xf numFmtId="0" fontId="46" fillId="5" borderId="22" xfId="63" applyFill="1" applyBorder="1" applyAlignment="1">
      <alignment horizontal="center" vertical="center"/>
    </xf>
    <xf numFmtId="205" fontId="46" fillId="5" borderId="22" xfId="63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6" fillId="32" borderId="22" xfId="63" applyNumberFormat="1" applyFont="1" applyBorder="1" applyAlignment="1" applyProtection="1">
      <alignment horizontal="center" vertical="center"/>
      <protection/>
    </xf>
    <xf numFmtId="0" fontId="46" fillId="5" borderId="22" xfId="63" applyNumberFormat="1" applyFill="1" applyBorder="1" applyAlignment="1" applyProtection="1">
      <alignment vertical="center"/>
      <protection/>
    </xf>
    <xf numFmtId="0" fontId="49" fillId="0" borderId="0" xfId="0" applyFont="1" applyAlignment="1">
      <alignment horizontal="center" vertical="center"/>
    </xf>
    <xf numFmtId="14" fontId="0" fillId="0" borderId="0" xfId="0" applyNumberFormat="1" applyBorder="1" applyAlignment="1">
      <alignment vertical="top" wrapText="1"/>
    </xf>
    <xf numFmtId="0" fontId="5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51" fillId="0" borderId="0" xfId="0" applyNumberFormat="1" applyFont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 applyProtection="1">
      <alignment vertical="center"/>
      <protection/>
    </xf>
    <xf numFmtId="0" fontId="52" fillId="0" borderId="0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98" fontId="0" fillId="0" borderId="0" xfId="0" applyNumberFormat="1" applyBorder="1" applyAlignment="1">
      <alignment vertical="center"/>
    </xf>
    <xf numFmtId="5" fontId="5" fillId="36" borderId="17" xfId="61" applyNumberFormat="1" applyFont="1" applyFill="1" applyBorder="1" applyAlignment="1" applyProtection="1">
      <alignment horizontal="center"/>
      <protection/>
    </xf>
    <xf numFmtId="5" fontId="5" fillId="36" borderId="52" xfId="61" applyNumberFormat="1" applyFont="1" applyFill="1" applyBorder="1" applyAlignment="1" applyProtection="1">
      <alignment horizontal="center"/>
      <protection/>
    </xf>
    <xf numFmtId="5" fontId="5" fillId="36" borderId="38" xfId="61" applyNumberFormat="1" applyFont="1" applyFill="1" applyBorder="1" applyAlignment="1" applyProtection="1">
      <alignment horizontal="center"/>
      <protection/>
    </xf>
    <xf numFmtId="5" fontId="5" fillId="36" borderId="54" xfId="61" applyNumberFormat="1" applyFont="1" applyFill="1" applyBorder="1" applyAlignment="1" applyProtection="1">
      <alignment horizontal="center"/>
      <protection/>
    </xf>
    <xf numFmtId="5" fontId="5" fillId="36" borderId="68" xfId="61" applyNumberFormat="1" applyFont="1" applyFill="1" applyBorder="1" applyAlignment="1" applyProtection="1">
      <alignment horizontal="center"/>
      <protection/>
    </xf>
    <xf numFmtId="5" fontId="9" fillId="0" borderId="50" xfId="61" applyNumberFormat="1" applyFont="1" applyFill="1" applyBorder="1" applyAlignment="1" applyProtection="1">
      <alignment horizontal="center" vertical="center"/>
      <protection/>
    </xf>
    <xf numFmtId="188" fontId="4" fillId="0" borderId="20" xfId="61" applyNumberFormat="1" applyFont="1" applyFill="1" applyBorder="1" applyAlignment="1" applyProtection="1">
      <alignment horizontal="center" vertical="center"/>
      <protection/>
    </xf>
    <xf numFmtId="188" fontId="4" fillId="0" borderId="29" xfId="61" applyNumberFormat="1" applyFont="1" applyFill="1" applyBorder="1" applyAlignment="1" applyProtection="1">
      <alignment horizontal="center" vertical="center"/>
      <protection/>
    </xf>
    <xf numFmtId="5" fontId="4" fillId="0" borderId="68" xfId="61" applyNumberFormat="1" applyFont="1" applyFill="1" applyBorder="1" applyAlignment="1" applyProtection="1">
      <alignment horizontal="center" vertical="center"/>
      <protection/>
    </xf>
    <xf numFmtId="5" fontId="4" fillId="0" borderId="69" xfId="61" applyNumberFormat="1" applyFont="1" applyFill="1" applyBorder="1" applyAlignment="1" applyProtection="1">
      <alignment horizontal="center" vertical="center"/>
      <protection/>
    </xf>
    <xf numFmtId="0" fontId="3" fillId="33" borderId="61" xfId="0" applyNumberFormat="1" applyFont="1" applyFill="1" applyBorder="1" applyAlignment="1" applyProtection="1">
      <alignment horizontal="center" vertical="center"/>
      <protection/>
    </xf>
    <xf numFmtId="0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7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dxfs count="2">
    <dxf>
      <font>
        <b/>
        <color rgb="FFDD0806"/>
      </font>
    </dxf>
    <dxf>
      <font>
        <b/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38100</xdr:rowOff>
    </xdr:from>
    <xdr:to>
      <xdr:col>9</xdr:col>
      <xdr:colOff>9525</xdr:colOff>
      <xdr:row>42</xdr:row>
      <xdr:rowOff>0</xdr:rowOff>
    </xdr:to>
    <xdr:pic>
      <xdr:nvPicPr>
        <xdr:cNvPr id="1" name="図 1" descr="１．１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6181725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5</xdr:col>
      <xdr:colOff>200025</xdr:colOff>
      <xdr:row>84</xdr:row>
      <xdr:rowOff>9525</xdr:rowOff>
    </xdr:to>
    <xdr:pic>
      <xdr:nvPicPr>
        <xdr:cNvPr id="2" name="図 3" descr="２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86775"/>
          <a:ext cx="362902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44</xdr:row>
      <xdr:rowOff>514350</xdr:rowOff>
    </xdr:from>
    <xdr:to>
      <xdr:col>17</xdr:col>
      <xdr:colOff>495300</xdr:colOff>
      <xdr:row>83</xdr:row>
      <xdr:rowOff>104775</xdr:rowOff>
    </xdr:to>
    <xdr:pic>
      <xdr:nvPicPr>
        <xdr:cNvPr id="3" name="図 4" descr="２．１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8467725"/>
          <a:ext cx="81438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7</xdr:col>
      <xdr:colOff>95250</xdr:colOff>
      <xdr:row>124</xdr:row>
      <xdr:rowOff>133350</xdr:rowOff>
    </xdr:to>
    <xdr:pic>
      <xdr:nvPicPr>
        <xdr:cNvPr id="4" name="図 5" descr="２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878175"/>
          <a:ext cx="4895850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86</xdr:row>
      <xdr:rowOff>19050</xdr:rowOff>
    </xdr:from>
    <xdr:to>
      <xdr:col>18</xdr:col>
      <xdr:colOff>628650</xdr:colOff>
      <xdr:row>125</xdr:row>
      <xdr:rowOff>28575</xdr:rowOff>
    </xdr:to>
    <xdr:pic>
      <xdr:nvPicPr>
        <xdr:cNvPr id="5" name="図 6" descr="２．１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15897225"/>
          <a:ext cx="782955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6</xdr:col>
      <xdr:colOff>200025</xdr:colOff>
      <xdr:row>166</xdr:row>
      <xdr:rowOff>123825</xdr:rowOff>
    </xdr:to>
    <xdr:pic>
      <xdr:nvPicPr>
        <xdr:cNvPr id="6" name="図 7" descr="３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441025"/>
          <a:ext cx="431482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22</xdr:col>
      <xdr:colOff>180975</xdr:colOff>
      <xdr:row>166</xdr:row>
      <xdr:rowOff>152400</xdr:rowOff>
    </xdr:to>
    <xdr:pic>
      <xdr:nvPicPr>
        <xdr:cNvPr id="7" name="図 8" descr="３．１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441025"/>
          <a:ext cx="10467975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7</xdr:col>
      <xdr:colOff>523875</xdr:colOff>
      <xdr:row>208</xdr:row>
      <xdr:rowOff>19050</xdr:rowOff>
    </xdr:to>
    <xdr:pic>
      <xdr:nvPicPr>
        <xdr:cNvPr id="8" name="図 9" descr="４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0832425"/>
          <a:ext cx="532447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20</xdr:col>
      <xdr:colOff>228600</xdr:colOff>
      <xdr:row>207</xdr:row>
      <xdr:rowOff>152400</xdr:rowOff>
    </xdr:to>
    <xdr:pic>
      <xdr:nvPicPr>
        <xdr:cNvPr id="9" name="図 10" descr="４．１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86400" y="30832425"/>
          <a:ext cx="84582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7</xdr:col>
      <xdr:colOff>152400</xdr:colOff>
      <xdr:row>249</xdr:row>
      <xdr:rowOff>0</xdr:rowOff>
    </xdr:to>
    <xdr:pic>
      <xdr:nvPicPr>
        <xdr:cNvPr id="10" name="図 11" descr="５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8223825"/>
          <a:ext cx="495300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0</xdr:rowOff>
    </xdr:from>
    <xdr:to>
      <xdr:col>22</xdr:col>
      <xdr:colOff>190500</xdr:colOff>
      <xdr:row>248</xdr:row>
      <xdr:rowOff>114300</xdr:rowOff>
    </xdr:to>
    <xdr:pic>
      <xdr:nvPicPr>
        <xdr:cNvPr id="11" name="図 12" descr="５．１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86400" y="38223825"/>
          <a:ext cx="979170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5</xdr:col>
      <xdr:colOff>523875</xdr:colOff>
      <xdr:row>290</xdr:row>
      <xdr:rowOff>28575</xdr:rowOff>
    </xdr:to>
    <xdr:pic>
      <xdr:nvPicPr>
        <xdr:cNvPr id="12" name="図 13" descr="６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5615225"/>
          <a:ext cx="3952875" cy="671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251</xdr:row>
      <xdr:rowOff>0</xdr:rowOff>
    </xdr:from>
    <xdr:to>
      <xdr:col>20</xdr:col>
      <xdr:colOff>257175</xdr:colOff>
      <xdr:row>289</xdr:row>
      <xdr:rowOff>114300</xdr:rowOff>
    </xdr:to>
    <xdr:pic>
      <xdr:nvPicPr>
        <xdr:cNvPr id="13" name="図 14" descr="６．１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10100" y="45615225"/>
          <a:ext cx="9363075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7</xdr:col>
      <xdr:colOff>9525</xdr:colOff>
      <xdr:row>331</xdr:row>
      <xdr:rowOff>9525</xdr:rowOff>
    </xdr:to>
    <xdr:pic>
      <xdr:nvPicPr>
        <xdr:cNvPr id="14" name="図 15" descr="７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53006625"/>
          <a:ext cx="481012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291</xdr:row>
      <xdr:rowOff>504825</xdr:rowOff>
    </xdr:from>
    <xdr:to>
      <xdr:col>21</xdr:col>
      <xdr:colOff>342900</xdr:colOff>
      <xdr:row>330</xdr:row>
      <xdr:rowOff>133350</xdr:rowOff>
    </xdr:to>
    <xdr:pic>
      <xdr:nvPicPr>
        <xdr:cNvPr id="15" name="図 16" descr="７．１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57775" y="52978050"/>
          <a:ext cx="9686925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7</xdr:col>
      <xdr:colOff>257175</xdr:colOff>
      <xdr:row>371</xdr:row>
      <xdr:rowOff>152400</xdr:rowOff>
    </xdr:to>
    <xdr:pic>
      <xdr:nvPicPr>
        <xdr:cNvPr id="16" name="図 17" descr="８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60398025"/>
          <a:ext cx="5057775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333</xdr:row>
      <xdr:rowOff>0</xdr:rowOff>
    </xdr:from>
    <xdr:to>
      <xdr:col>22</xdr:col>
      <xdr:colOff>381000</xdr:colOff>
      <xdr:row>372</xdr:row>
      <xdr:rowOff>38100</xdr:rowOff>
    </xdr:to>
    <xdr:pic>
      <xdr:nvPicPr>
        <xdr:cNvPr id="17" name="図 18" descr="８．１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86400" y="60398025"/>
          <a:ext cx="9982200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19</xdr:col>
      <xdr:colOff>247650</xdr:colOff>
      <xdr:row>412</xdr:row>
      <xdr:rowOff>152400</xdr:rowOff>
    </xdr:to>
    <xdr:pic>
      <xdr:nvPicPr>
        <xdr:cNvPr id="18" name="図 19" descr="９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67789425"/>
          <a:ext cx="132778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3" sqref="B3:D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94"/>
      <c r="B1" s="173" t="s">
        <v>0</v>
      </c>
      <c r="C1" s="174"/>
      <c r="D1" s="175"/>
      <c r="E1" s="93"/>
      <c r="F1" s="176" t="s">
        <v>0</v>
      </c>
      <c r="G1" s="177"/>
      <c r="H1" s="95"/>
    </row>
    <row r="2" spans="1:9" ht="25.5" customHeight="1">
      <c r="A2" s="96" t="s">
        <v>1</v>
      </c>
      <c r="B2" s="178">
        <v>3000000</v>
      </c>
      <c r="C2" s="178"/>
      <c r="D2" s="178"/>
      <c r="E2" s="37" t="s">
        <v>2</v>
      </c>
      <c r="F2" s="179">
        <v>41609</v>
      </c>
      <c r="G2" s="180"/>
      <c r="H2" s="19"/>
      <c r="I2" s="19"/>
    </row>
    <row r="3" spans="1:11" ht="27" customHeight="1">
      <c r="A3" s="20" t="s">
        <v>3</v>
      </c>
      <c r="B3" s="181">
        <f>SUM(B2+D17)</f>
        <v>3020000</v>
      </c>
      <c r="C3" s="181"/>
      <c r="D3" s="182"/>
      <c r="E3" s="21" t="s">
        <v>4</v>
      </c>
      <c r="F3" s="22">
        <v>0.02</v>
      </c>
      <c r="G3" s="23">
        <f>B3*F3</f>
        <v>60400</v>
      </c>
      <c r="H3" s="25" t="s">
        <v>5</v>
      </c>
      <c r="I3" s="26">
        <f>(B3-B2)</f>
        <v>20000</v>
      </c>
      <c r="K3" s="97"/>
    </row>
    <row r="4" spans="1:9" s="76" customFormat="1" ht="17.25" customHeight="1">
      <c r="A4" s="71"/>
      <c r="B4" s="72"/>
      <c r="C4" s="72"/>
      <c r="D4" s="72"/>
      <c r="E4" s="73"/>
      <c r="F4" s="92" t="s">
        <v>0</v>
      </c>
      <c r="G4" s="72"/>
      <c r="H4" s="74"/>
      <c r="I4" s="75"/>
    </row>
    <row r="5" spans="1:12" ht="39" customHeight="1">
      <c r="A5" s="77"/>
      <c r="B5" s="78"/>
      <c r="C5" s="78"/>
      <c r="D5" s="90"/>
      <c r="E5" s="79"/>
      <c r="F5" s="91"/>
      <c r="G5" s="78"/>
      <c r="H5" s="80"/>
      <c r="I5" s="81"/>
      <c r="J5" s="82"/>
      <c r="K5" s="83"/>
      <c r="L5" s="83"/>
    </row>
    <row r="6" spans="1:12" ht="21" customHeight="1">
      <c r="A6" s="87" t="s">
        <v>6</v>
      </c>
      <c r="B6" s="85" t="s">
        <v>0</v>
      </c>
      <c r="C6" s="85" t="s">
        <v>0</v>
      </c>
      <c r="D6" s="86"/>
      <c r="E6" s="85" t="s">
        <v>0</v>
      </c>
      <c r="F6" s="88" t="s">
        <v>0</v>
      </c>
      <c r="G6" s="24"/>
      <c r="H6" s="19"/>
      <c r="I6" s="19"/>
      <c r="L6" s="84"/>
    </row>
    <row r="7" spans="1:12" ht="28.5">
      <c r="A7" s="89" t="s">
        <v>7</v>
      </c>
      <c r="B7" s="31" t="s">
        <v>8</v>
      </c>
      <c r="C7" s="32" t="s">
        <v>9</v>
      </c>
      <c r="D7" s="33" t="s">
        <v>10</v>
      </c>
      <c r="E7" s="34" t="s">
        <v>11</v>
      </c>
      <c r="F7" s="32" t="s">
        <v>12</v>
      </c>
      <c r="G7" s="34" t="s">
        <v>13</v>
      </c>
      <c r="H7" s="33" t="s">
        <v>14</v>
      </c>
      <c r="I7" s="35" t="s">
        <v>15</v>
      </c>
      <c r="J7" s="38" t="s">
        <v>16</v>
      </c>
      <c r="K7" s="32" t="s">
        <v>17</v>
      </c>
      <c r="L7" s="36" t="s">
        <v>18</v>
      </c>
    </row>
    <row r="8" spans="1:12" ht="24.75" customHeight="1">
      <c r="A8" s="28">
        <v>42095</v>
      </c>
      <c r="B8" s="39">
        <v>20000</v>
      </c>
      <c r="C8" s="40"/>
      <c r="D8" s="58">
        <f aca="true" t="shared" si="0" ref="D8:D16">SUM(B8-C8)</f>
        <v>20000</v>
      </c>
      <c r="E8" s="41"/>
      <c r="F8" s="42"/>
      <c r="G8" s="41">
        <f aca="true" t="shared" si="1" ref="G8:G16">SUM(E8+F8)</f>
        <v>0</v>
      </c>
      <c r="H8" s="43" t="e">
        <f aca="true" t="shared" si="2" ref="H8:H16">E8/G8</f>
        <v>#DIV/0!</v>
      </c>
      <c r="I8" s="44" t="e">
        <f aca="true" t="shared" si="3" ref="I8:I16">B8/E8</f>
        <v>#DIV/0!</v>
      </c>
      <c r="J8" s="44" t="e">
        <f aca="true" t="shared" si="4" ref="J8:J16">C8/F8</f>
        <v>#DIV/0!</v>
      </c>
      <c r="K8" s="45" t="e">
        <f aca="true" t="shared" si="5" ref="K8:K16">I8/J8</f>
        <v>#DIV/0!</v>
      </c>
      <c r="L8" s="46" t="e">
        <f aca="true" t="shared" si="6" ref="L8:L16">B8/C8</f>
        <v>#DIV/0!</v>
      </c>
    </row>
    <row r="9" spans="1:12" ht="24.75" customHeight="1">
      <c r="A9" s="29">
        <v>42125</v>
      </c>
      <c r="B9" s="47"/>
      <c r="C9" s="48"/>
      <c r="D9" s="58">
        <f t="shared" si="0"/>
        <v>0</v>
      </c>
      <c r="E9" s="49"/>
      <c r="F9" s="49"/>
      <c r="G9" s="41">
        <f t="shared" si="1"/>
        <v>0</v>
      </c>
      <c r="H9" s="43" t="e">
        <f t="shared" si="2"/>
        <v>#DIV/0!</v>
      </c>
      <c r="I9" s="44" t="e">
        <f t="shared" si="3"/>
        <v>#DIV/0!</v>
      </c>
      <c r="J9" s="44" t="e">
        <f t="shared" si="4"/>
        <v>#DIV/0!</v>
      </c>
      <c r="K9" s="45" t="e">
        <f t="shared" si="5"/>
        <v>#DIV/0!</v>
      </c>
      <c r="L9" s="46" t="e">
        <f t="shared" si="6"/>
        <v>#DIV/0!</v>
      </c>
    </row>
    <row r="10" spans="1:12" ht="24.75" customHeight="1">
      <c r="A10" s="28">
        <v>42156</v>
      </c>
      <c r="B10" s="47"/>
      <c r="C10" s="48"/>
      <c r="D10" s="58">
        <f t="shared" si="0"/>
        <v>0</v>
      </c>
      <c r="E10" s="49"/>
      <c r="F10" s="49"/>
      <c r="G10" s="41">
        <f t="shared" si="1"/>
        <v>0</v>
      </c>
      <c r="H10" s="43" t="e">
        <f t="shared" si="2"/>
        <v>#DIV/0!</v>
      </c>
      <c r="I10" s="44" t="e">
        <f t="shared" si="3"/>
        <v>#DIV/0!</v>
      </c>
      <c r="J10" s="44" t="e">
        <f t="shared" si="4"/>
        <v>#DIV/0!</v>
      </c>
      <c r="K10" s="45" t="e">
        <f t="shared" si="5"/>
        <v>#DIV/0!</v>
      </c>
      <c r="L10" s="46" t="e">
        <f t="shared" si="6"/>
        <v>#DIV/0!</v>
      </c>
    </row>
    <row r="11" spans="1:12" ht="24.75" customHeight="1">
      <c r="A11" s="29">
        <v>42186</v>
      </c>
      <c r="B11" s="47"/>
      <c r="C11" s="48"/>
      <c r="D11" s="58">
        <f t="shared" si="0"/>
        <v>0</v>
      </c>
      <c r="E11" s="49"/>
      <c r="F11" s="49"/>
      <c r="G11" s="41">
        <f t="shared" si="1"/>
        <v>0</v>
      </c>
      <c r="H11" s="43" t="e">
        <f t="shared" si="2"/>
        <v>#DIV/0!</v>
      </c>
      <c r="I11" s="44" t="e">
        <f t="shared" si="3"/>
        <v>#DIV/0!</v>
      </c>
      <c r="J11" s="44" t="e">
        <f t="shared" si="4"/>
        <v>#DIV/0!</v>
      </c>
      <c r="K11" s="45" t="e">
        <f t="shared" si="5"/>
        <v>#DIV/0!</v>
      </c>
      <c r="L11" s="46" t="e">
        <f t="shared" si="6"/>
        <v>#DIV/0!</v>
      </c>
    </row>
    <row r="12" spans="1:12" ht="24.75" customHeight="1">
      <c r="A12" s="28">
        <v>42217</v>
      </c>
      <c r="B12" s="47"/>
      <c r="C12" s="40"/>
      <c r="D12" s="58">
        <f t="shared" si="0"/>
        <v>0</v>
      </c>
      <c r="E12" s="49"/>
      <c r="F12" s="49"/>
      <c r="G12" s="41">
        <f t="shared" si="1"/>
        <v>0</v>
      </c>
      <c r="H12" s="43" t="e">
        <f t="shared" si="2"/>
        <v>#DIV/0!</v>
      </c>
      <c r="I12" s="44" t="e">
        <f t="shared" si="3"/>
        <v>#DIV/0!</v>
      </c>
      <c r="J12" s="44" t="e">
        <f t="shared" si="4"/>
        <v>#DIV/0!</v>
      </c>
      <c r="K12" s="45" t="e">
        <f t="shared" si="5"/>
        <v>#DIV/0!</v>
      </c>
      <c r="L12" s="46" t="e">
        <f t="shared" si="6"/>
        <v>#DIV/0!</v>
      </c>
    </row>
    <row r="13" spans="1:12" ht="24.75" customHeight="1">
      <c r="A13" s="29">
        <v>42248</v>
      </c>
      <c r="B13" s="47"/>
      <c r="C13" s="48"/>
      <c r="D13" s="58">
        <f t="shared" si="0"/>
        <v>0</v>
      </c>
      <c r="E13" s="49"/>
      <c r="F13" s="49"/>
      <c r="G13" s="41">
        <f t="shared" si="1"/>
        <v>0</v>
      </c>
      <c r="H13" s="43" t="e">
        <f t="shared" si="2"/>
        <v>#DIV/0!</v>
      </c>
      <c r="I13" s="44" t="e">
        <f t="shared" si="3"/>
        <v>#DIV/0!</v>
      </c>
      <c r="J13" s="44" t="e">
        <f t="shared" si="4"/>
        <v>#DIV/0!</v>
      </c>
      <c r="K13" s="45" t="e">
        <f t="shared" si="5"/>
        <v>#DIV/0!</v>
      </c>
      <c r="L13" s="46" t="e">
        <f t="shared" si="6"/>
        <v>#DIV/0!</v>
      </c>
    </row>
    <row r="14" spans="1:12" ht="24.75" customHeight="1">
      <c r="A14" s="28">
        <v>42278</v>
      </c>
      <c r="B14" s="47"/>
      <c r="C14" s="40"/>
      <c r="D14" s="58">
        <f t="shared" si="0"/>
        <v>0</v>
      </c>
      <c r="E14" s="49"/>
      <c r="F14" s="49"/>
      <c r="G14" s="41">
        <f t="shared" si="1"/>
        <v>0</v>
      </c>
      <c r="H14" s="43" t="e">
        <f t="shared" si="2"/>
        <v>#DIV/0!</v>
      </c>
      <c r="I14" s="44" t="e">
        <f t="shared" si="3"/>
        <v>#DIV/0!</v>
      </c>
      <c r="J14" s="44" t="e">
        <f t="shared" si="4"/>
        <v>#DIV/0!</v>
      </c>
      <c r="K14" s="45" t="e">
        <f t="shared" si="5"/>
        <v>#DIV/0!</v>
      </c>
      <c r="L14" s="46" t="e">
        <f t="shared" si="6"/>
        <v>#DIV/0!</v>
      </c>
    </row>
    <row r="15" spans="1:12" ht="24.75" customHeight="1">
      <c r="A15" s="29">
        <v>42309</v>
      </c>
      <c r="B15" s="47"/>
      <c r="C15" s="40"/>
      <c r="D15" s="58">
        <f t="shared" si="0"/>
        <v>0</v>
      </c>
      <c r="E15" s="49"/>
      <c r="F15" s="49"/>
      <c r="G15" s="41">
        <f t="shared" si="1"/>
        <v>0</v>
      </c>
      <c r="H15" s="43" t="e">
        <f t="shared" si="2"/>
        <v>#DIV/0!</v>
      </c>
      <c r="I15" s="44" t="e">
        <f t="shared" si="3"/>
        <v>#DIV/0!</v>
      </c>
      <c r="J15" s="44" t="e">
        <f t="shared" si="4"/>
        <v>#DIV/0!</v>
      </c>
      <c r="K15" s="45" t="e">
        <f t="shared" si="5"/>
        <v>#DIV/0!</v>
      </c>
      <c r="L15" s="46" t="e">
        <f t="shared" si="6"/>
        <v>#DIV/0!</v>
      </c>
    </row>
    <row r="16" spans="1:12" ht="24.75" customHeight="1">
      <c r="A16" s="30">
        <v>42339</v>
      </c>
      <c r="B16" s="50"/>
      <c r="C16" s="51"/>
      <c r="D16" s="59">
        <f t="shared" si="0"/>
        <v>0</v>
      </c>
      <c r="E16" s="52"/>
      <c r="F16" s="52"/>
      <c r="G16" s="53">
        <f t="shared" si="1"/>
        <v>0</v>
      </c>
      <c r="H16" s="54" t="e">
        <f t="shared" si="2"/>
        <v>#DIV/0!</v>
      </c>
      <c r="I16" s="55" t="e">
        <f t="shared" si="3"/>
        <v>#DIV/0!</v>
      </c>
      <c r="J16" s="55" t="e">
        <f t="shared" si="4"/>
        <v>#DIV/0!</v>
      </c>
      <c r="K16" s="56" t="e">
        <f t="shared" si="5"/>
        <v>#DIV/0!</v>
      </c>
      <c r="L16" s="57" t="e">
        <f t="shared" si="6"/>
        <v>#DIV/0!</v>
      </c>
    </row>
    <row r="17" spans="1:12" ht="24.75" customHeight="1">
      <c r="A17" s="60" t="s">
        <v>19</v>
      </c>
      <c r="B17" s="61">
        <f aca="true" t="shared" si="7" ref="B17:G17">SUM(B8:B16)</f>
        <v>20000</v>
      </c>
      <c r="C17" s="62">
        <f t="shared" si="7"/>
        <v>0</v>
      </c>
      <c r="D17" s="63">
        <f t="shared" si="7"/>
        <v>20000</v>
      </c>
      <c r="E17" s="64">
        <f t="shared" si="7"/>
        <v>0</v>
      </c>
      <c r="F17" s="65">
        <f t="shared" si="7"/>
        <v>0</v>
      </c>
      <c r="G17" s="64">
        <f t="shared" si="7"/>
        <v>0</v>
      </c>
      <c r="H17" s="66" t="e">
        <f>AVERAGE(H8:H16)</f>
        <v>#DIV/0!</v>
      </c>
      <c r="I17" s="62" t="e">
        <f>AVERAGE(I8:I16)</f>
        <v>#DIV/0!</v>
      </c>
      <c r="J17" s="62" t="e">
        <f>AVERAGE(J8:J16)</f>
        <v>#DIV/0!</v>
      </c>
      <c r="K17" s="67" t="e">
        <f>AVERAGE(K8:K16)</f>
        <v>#DIV/0!</v>
      </c>
      <c r="L17" s="68" t="e">
        <f>AVERAGE(L8:L16)</f>
        <v>#DIV/0!</v>
      </c>
    </row>
    <row r="18" spans="1:12" ht="13.5">
      <c r="A18" s="27"/>
      <c r="J18" s="69"/>
      <c r="K18" s="70" t="s">
        <v>20</v>
      </c>
      <c r="L18" s="70" t="s">
        <v>21</v>
      </c>
    </row>
    <row r="19" ht="13.5">
      <c r="A19" s="27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98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B3" sqref="B3"/>
    </sheetView>
  </sheetViews>
  <sheetFormatPr defaultColWidth="10.00390625" defaultRowHeight="13.5" customHeight="1"/>
  <cols>
    <col min="1" max="1" width="3.50390625" style="0" customWidth="1"/>
    <col min="2" max="2" width="11.50390625" style="107" customWidth="1"/>
    <col min="3" max="3" width="6.00390625" style="156" customWidth="1"/>
    <col min="4" max="4" width="16.375" style="0" customWidth="1"/>
    <col min="5" max="5" width="9.625" style="0" customWidth="1"/>
    <col min="6" max="6" width="12.75390625" style="0" customWidth="1"/>
    <col min="7" max="7" width="12.50390625" style="129" customWidth="1"/>
    <col min="8" max="8" width="15.875" style="0" customWidth="1"/>
    <col min="9" max="9" width="10.00390625" style="129" customWidth="1"/>
    <col min="10" max="10" width="8.75390625" style="116" customWidth="1"/>
    <col min="11" max="11" width="13.50390625" style="147" customWidth="1"/>
    <col min="12" max="12" width="13.75390625" style="110" customWidth="1"/>
    <col min="13" max="13" width="8.00390625" style="0" customWidth="1"/>
    <col min="14" max="14" width="14.625" style="0" customWidth="1"/>
    <col min="15" max="15" width="10.125" style="109" customWidth="1"/>
    <col min="16" max="16" width="9.375" style="0" customWidth="1"/>
    <col min="17" max="17" width="10.00390625" style="105" customWidth="1"/>
    <col min="18" max="18" width="10.00390625" style="106" customWidth="1"/>
  </cols>
  <sheetData>
    <row r="3" spans="4:8" ht="13.5" customHeight="1">
      <c r="D3" s="129" t="s">
        <v>89</v>
      </c>
      <c r="G3" s="156" t="s">
        <v>84</v>
      </c>
      <c r="H3" t="s">
        <v>87</v>
      </c>
    </row>
    <row r="5" ht="13.5" customHeight="1">
      <c r="D5" s="157"/>
    </row>
    <row r="7" spans="4:18" ht="13.5" customHeight="1">
      <c r="D7" s="129" t="s">
        <v>77</v>
      </c>
      <c r="E7" s="129" t="s">
        <v>90</v>
      </c>
      <c r="P7" t="s">
        <v>78</v>
      </c>
      <c r="Q7"/>
      <c r="R7" t="s">
        <v>79</v>
      </c>
    </row>
    <row r="8" spans="4:18" ht="13.5" customHeight="1">
      <c r="D8" s="129" t="s">
        <v>76</v>
      </c>
      <c r="E8" s="130" t="s">
        <v>101</v>
      </c>
      <c r="P8" s="110" t="s">
        <v>80</v>
      </c>
      <c r="Q8" s="108"/>
      <c r="R8" t="s">
        <v>81</v>
      </c>
    </row>
    <row r="10" spans="2:18" s="111" customFormat="1" ht="13.5">
      <c r="B10" s="112" t="s">
        <v>70</v>
      </c>
      <c r="C10" s="158" t="s">
        <v>22</v>
      </c>
      <c r="D10" s="113" t="s">
        <v>72</v>
      </c>
      <c r="E10" s="150" t="s">
        <v>23</v>
      </c>
      <c r="F10" s="150" t="s">
        <v>24</v>
      </c>
      <c r="G10" s="151" t="s">
        <v>25</v>
      </c>
      <c r="H10" s="152" t="s">
        <v>26</v>
      </c>
      <c r="I10" s="153" t="s">
        <v>27</v>
      </c>
      <c r="J10" s="117" t="s">
        <v>85</v>
      </c>
      <c r="K10" s="148" t="s">
        <v>74</v>
      </c>
      <c r="L10" s="159" t="s">
        <v>71</v>
      </c>
      <c r="M10" s="154" t="s">
        <v>82</v>
      </c>
      <c r="N10" s="154" t="s">
        <v>66</v>
      </c>
      <c r="O10" s="155" t="s">
        <v>75</v>
      </c>
      <c r="P10" s="111" t="s">
        <v>86</v>
      </c>
      <c r="Q10" s="114" t="s">
        <v>67</v>
      </c>
      <c r="R10" s="115" t="s">
        <v>69</v>
      </c>
    </row>
    <row r="11" spans="1:18" s="124" customFormat="1" ht="13.5">
      <c r="A11" s="121">
        <v>1</v>
      </c>
      <c r="B11" s="122">
        <v>1000000</v>
      </c>
      <c r="C11" s="162" t="s">
        <v>83</v>
      </c>
      <c r="D11" s="123">
        <f aca="true" t="shared" si="0" ref="D11:D19">Q11*0.1</f>
        <v>-0.42000000000000004</v>
      </c>
      <c r="E11" s="124" t="s">
        <v>92</v>
      </c>
      <c r="F11" s="144">
        <v>38455</v>
      </c>
      <c r="G11" s="131">
        <v>203.129</v>
      </c>
      <c r="H11" s="144">
        <v>38455</v>
      </c>
      <c r="I11" s="131">
        <v>203.129</v>
      </c>
      <c r="J11" s="125">
        <f aca="true" t="shared" si="1" ref="J11:J19">IF(C11="買",I11-G11,G11-I11)*100</f>
        <v>0</v>
      </c>
      <c r="K11" s="149">
        <f>(J11*R11)</f>
        <v>0</v>
      </c>
      <c r="L11" s="130">
        <v>203.835</v>
      </c>
      <c r="M11" s="124">
        <v>0.03</v>
      </c>
      <c r="N11" s="126">
        <f>(G11-L11)*100</f>
        <v>-70.60000000000173</v>
      </c>
      <c r="O11" s="127">
        <f>B11*0.03</f>
        <v>30000</v>
      </c>
      <c r="P11" s="124">
        <v>100</v>
      </c>
      <c r="Q11" s="126">
        <f>ROUNDDOWN(B11*M11/N11/P11,1)</f>
        <v>-4.2</v>
      </c>
      <c r="R11" s="128">
        <f>Q11*100</f>
        <v>-420</v>
      </c>
    </row>
    <row r="12" spans="1:18" s="124" customFormat="1" ht="13.5">
      <c r="A12" s="121">
        <v>2</v>
      </c>
      <c r="B12" s="122">
        <f>B11+K11</f>
        <v>1000000</v>
      </c>
      <c r="C12" s="160" t="s">
        <v>73</v>
      </c>
      <c r="D12" s="123">
        <f>Q12*0.1</f>
        <v>0.21000000000000002</v>
      </c>
      <c r="E12" s="124" t="s">
        <v>92</v>
      </c>
      <c r="F12" s="144">
        <v>38545</v>
      </c>
      <c r="G12" s="131">
        <v>196.5</v>
      </c>
      <c r="H12" s="144">
        <v>38545</v>
      </c>
      <c r="I12" s="130">
        <v>196.901</v>
      </c>
      <c r="J12" s="125">
        <f t="shared" si="1"/>
        <v>40.100000000001046</v>
      </c>
      <c r="K12" s="149">
        <f>(J12*R12)</f>
        <v>8421.00000000022</v>
      </c>
      <c r="L12" s="168">
        <v>195.101</v>
      </c>
      <c r="M12" s="124">
        <v>0.03</v>
      </c>
      <c r="N12" s="126">
        <f>(G12-L12)*100</f>
        <v>139.9000000000001</v>
      </c>
      <c r="O12" s="127">
        <f>B12*0.03</f>
        <v>30000</v>
      </c>
      <c r="P12" s="124">
        <v>100</v>
      </c>
      <c r="Q12" s="126">
        <f>ROUNDDOWN(B12*M12/N12/P12,1)</f>
        <v>2.1</v>
      </c>
      <c r="R12" s="128">
        <f>Q12*100</f>
        <v>210</v>
      </c>
    </row>
    <row r="13" spans="1:18" s="124" customFormat="1" ht="13.5">
      <c r="A13" s="121">
        <v>3</v>
      </c>
      <c r="B13" s="122">
        <f aca="true" t="shared" si="2" ref="B13:B19">B12+K12</f>
        <v>1008421.0000000002</v>
      </c>
      <c r="C13" s="162" t="s">
        <v>83</v>
      </c>
      <c r="D13" s="123">
        <f t="shared" si="0"/>
        <v>-0.76</v>
      </c>
      <c r="E13" s="124" t="s">
        <v>91</v>
      </c>
      <c r="F13" s="144">
        <v>38574</v>
      </c>
      <c r="G13" s="131">
        <v>198.924</v>
      </c>
      <c r="H13" s="144">
        <v>38574</v>
      </c>
      <c r="I13" s="130">
        <v>198.643</v>
      </c>
      <c r="J13" s="125">
        <f t="shared" si="1"/>
        <v>28.10000000000059</v>
      </c>
      <c r="K13" s="172">
        <f>(J13*R13)*-1</f>
        <v>21356.00000000045</v>
      </c>
      <c r="L13" s="130">
        <v>199.317</v>
      </c>
      <c r="M13" s="124">
        <v>0.03</v>
      </c>
      <c r="N13" s="126">
        <f aca="true" t="shared" si="3" ref="N13:N19">IF(H13="買",L13-G13,G13-L13)*100</f>
        <v>-39.30000000000007</v>
      </c>
      <c r="O13" s="127">
        <f aca="true" t="shared" si="4" ref="O13:O21">B13*0.03</f>
        <v>30252.630000000005</v>
      </c>
      <c r="P13" s="124">
        <v>100</v>
      </c>
      <c r="Q13" s="126">
        <f aca="true" t="shared" si="5" ref="Q13:Q21">ROUNDDOWN(B13*M13/N13/P13,1)</f>
        <v>-7.6</v>
      </c>
      <c r="R13" s="128">
        <f aca="true" t="shared" si="6" ref="R13:R21">Q13*100</f>
        <v>-760</v>
      </c>
    </row>
    <row r="14" spans="1:18" s="124" customFormat="1" ht="13.5">
      <c r="A14" s="121">
        <v>4</v>
      </c>
      <c r="B14" s="122">
        <f t="shared" si="2"/>
        <v>1029777.0000000007</v>
      </c>
      <c r="C14" s="162" t="s">
        <v>83</v>
      </c>
      <c r="D14" s="123">
        <f t="shared" si="0"/>
        <v>-0.44000000000000006</v>
      </c>
      <c r="E14" s="124" t="s">
        <v>91</v>
      </c>
      <c r="F14" s="144">
        <v>38604</v>
      </c>
      <c r="G14" s="131">
        <v>202.076</v>
      </c>
      <c r="H14" s="161">
        <v>38608</v>
      </c>
      <c r="I14" s="131">
        <v>200.818</v>
      </c>
      <c r="J14" s="125">
        <f t="shared" si="1"/>
        <v>125.79999999999814</v>
      </c>
      <c r="K14" s="172">
        <f>(J14*R14)*-1</f>
        <v>55351.999999999185</v>
      </c>
      <c r="L14" s="130">
        <v>202.769</v>
      </c>
      <c r="M14" s="124">
        <v>0.03</v>
      </c>
      <c r="N14" s="126">
        <f>IF(H14="買",L14-G14,G14-L14)*100</f>
        <v>-69.3000000000012</v>
      </c>
      <c r="O14" s="127">
        <f>B14*0.03</f>
        <v>30893.31000000002</v>
      </c>
      <c r="P14" s="124">
        <v>100</v>
      </c>
      <c r="Q14" s="126">
        <f>ROUNDDOWN(B14*M14/N14/P14,1)</f>
        <v>-4.4</v>
      </c>
      <c r="R14" s="128">
        <f>Q14*100</f>
        <v>-440.00000000000006</v>
      </c>
    </row>
    <row r="15" spans="1:18" s="124" customFormat="1" ht="13.5">
      <c r="A15" s="121">
        <v>5</v>
      </c>
      <c r="B15" s="122">
        <f t="shared" si="2"/>
        <v>1085129</v>
      </c>
      <c r="C15" s="160" t="s">
        <v>73</v>
      </c>
      <c r="D15" s="123">
        <f t="shared" si="0"/>
        <v>0.5599999999999999</v>
      </c>
      <c r="E15" s="124" t="s">
        <v>91</v>
      </c>
      <c r="F15" s="144">
        <v>38625</v>
      </c>
      <c r="G15" s="131">
        <v>200.068</v>
      </c>
      <c r="H15" s="144">
        <v>38625</v>
      </c>
      <c r="I15" s="131">
        <v>200.068</v>
      </c>
      <c r="J15" s="125">
        <f t="shared" si="1"/>
        <v>0</v>
      </c>
      <c r="K15" s="149">
        <f>(J15*R15)</f>
        <v>0</v>
      </c>
      <c r="L15" s="130">
        <v>199.496</v>
      </c>
      <c r="M15" s="124">
        <v>0.03</v>
      </c>
      <c r="N15" s="126">
        <f t="shared" si="3"/>
        <v>57.20000000000027</v>
      </c>
      <c r="O15" s="127">
        <f t="shared" si="4"/>
        <v>32553.87</v>
      </c>
      <c r="P15" s="124">
        <v>100</v>
      </c>
      <c r="Q15" s="126">
        <f t="shared" si="5"/>
        <v>5.6</v>
      </c>
      <c r="R15" s="128">
        <f t="shared" si="6"/>
        <v>560</v>
      </c>
    </row>
    <row r="16" spans="1:18" s="124" customFormat="1" ht="13.5">
      <c r="A16" s="121">
        <v>6</v>
      </c>
      <c r="B16" s="122">
        <f t="shared" si="2"/>
        <v>1085129</v>
      </c>
      <c r="C16" s="160" t="s">
        <v>73</v>
      </c>
      <c r="D16" s="123">
        <f t="shared" si="0"/>
        <v>0.22999999999999998</v>
      </c>
      <c r="E16" s="124" t="s">
        <v>91</v>
      </c>
      <c r="F16" s="161">
        <v>38654</v>
      </c>
      <c r="G16" s="131">
        <v>205.665</v>
      </c>
      <c r="H16" s="161">
        <v>38662</v>
      </c>
      <c r="I16" s="131">
        <v>209.417</v>
      </c>
      <c r="J16" s="125">
        <f t="shared" si="1"/>
        <v>375.20000000000095</v>
      </c>
      <c r="K16" s="149">
        <f>(J16*R16)</f>
        <v>86296.0000000002</v>
      </c>
      <c r="L16" s="130">
        <v>204.292</v>
      </c>
      <c r="M16" s="124">
        <v>0.03</v>
      </c>
      <c r="N16" s="126">
        <f t="shared" si="3"/>
        <v>137.29999999999905</v>
      </c>
      <c r="O16" s="127">
        <f t="shared" si="4"/>
        <v>32553.87</v>
      </c>
      <c r="P16" s="124">
        <v>100</v>
      </c>
      <c r="Q16" s="126">
        <f t="shared" si="5"/>
        <v>2.3</v>
      </c>
      <c r="R16" s="128">
        <f t="shared" si="6"/>
        <v>229.99999999999997</v>
      </c>
    </row>
    <row r="17" spans="1:18" s="124" customFormat="1" ht="13.5">
      <c r="A17" s="121">
        <v>7</v>
      </c>
      <c r="B17" s="122">
        <f t="shared" si="2"/>
        <v>1171425.0000000002</v>
      </c>
      <c r="C17" s="162" t="s">
        <v>83</v>
      </c>
      <c r="D17" s="123">
        <f t="shared" si="0"/>
        <v>-0.13999999999999999</v>
      </c>
      <c r="E17" s="124" t="s">
        <v>91</v>
      </c>
      <c r="F17" s="161">
        <v>38669</v>
      </c>
      <c r="G17" s="164">
        <v>210.414</v>
      </c>
      <c r="H17" s="161">
        <v>38672</v>
      </c>
      <c r="I17" s="164">
        <v>206.159</v>
      </c>
      <c r="J17" s="125">
        <f t="shared" si="1"/>
        <v>425.49999999999955</v>
      </c>
      <c r="K17" s="172">
        <f>(J17*R17)*-1</f>
        <v>59569.999999999935</v>
      </c>
      <c r="L17" s="163">
        <v>212.768</v>
      </c>
      <c r="M17" s="124">
        <v>0.03</v>
      </c>
      <c r="N17" s="126">
        <f t="shared" si="3"/>
        <v>-235.40000000000134</v>
      </c>
      <c r="O17" s="127">
        <f t="shared" si="4"/>
        <v>35142.75000000001</v>
      </c>
      <c r="P17" s="124">
        <v>100</v>
      </c>
      <c r="Q17" s="126">
        <f t="shared" si="5"/>
        <v>-1.4</v>
      </c>
      <c r="R17" s="128">
        <f t="shared" si="6"/>
        <v>-140</v>
      </c>
    </row>
    <row r="18" spans="1:18" s="124" customFormat="1" ht="13.5">
      <c r="A18" s="121">
        <v>8</v>
      </c>
      <c r="B18" s="122">
        <f t="shared" si="2"/>
        <v>1230995.0000000002</v>
      </c>
      <c r="C18" s="160" t="s">
        <v>73</v>
      </c>
      <c r="D18" s="123">
        <f t="shared" si="0"/>
        <v>0.5</v>
      </c>
      <c r="E18" s="124" t="s">
        <v>91</v>
      </c>
      <c r="F18" s="161">
        <v>38684</v>
      </c>
      <c r="G18" s="131">
        <v>203.656</v>
      </c>
      <c r="H18" s="161">
        <v>38684</v>
      </c>
      <c r="I18" s="163">
        <v>202.921</v>
      </c>
      <c r="J18" s="125">
        <f t="shared" si="1"/>
        <v>-73.50000000000136</v>
      </c>
      <c r="K18" s="149">
        <f>(J18*R18)</f>
        <v>-36750.000000000684</v>
      </c>
      <c r="L18" s="163">
        <v>202.921</v>
      </c>
      <c r="M18" s="124">
        <v>0.03</v>
      </c>
      <c r="N18" s="126">
        <f t="shared" si="3"/>
        <v>73.50000000000136</v>
      </c>
      <c r="O18" s="127">
        <f t="shared" si="4"/>
        <v>36929.850000000006</v>
      </c>
      <c r="P18" s="124">
        <v>100</v>
      </c>
      <c r="Q18" s="126">
        <f t="shared" si="5"/>
        <v>5</v>
      </c>
      <c r="R18" s="128">
        <f t="shared" si="6"/>
        <v>500</v>
      </c>
    </row>
    <row r="19" spans="1:18" s="124" customFormat="1" ht="13.5">
      <c r="A19" s="121">
        <v>9</v>
      </c>
      <c r="B19" s="122">
        <f t="shared" si="2"/>
        <v>1194244.9999999995</v>
      </c>
      <c r="C19" s="160" t="s">
        <v>73</v>
      </c>
      <c r="D19" s="123">
        <f t="shared" si="0"/>
        <v>0.4</v>
      </c>
      <c r="E19" s="124" t="s">
        <v>91</v>
      </c>
      <c r="F19" s="161">
        <v>38765</v>
      </c>
      <c r="G19" s="131">
        <v>205.325</v>
      </c>
      <c r="H19" s="161">
        <v>38770</v>
      </c>
      <c r="I19" s="131">
        <v>206.872</v>
      </c>
      <c r="J19" s="125">
        <f t="shared" si="1"/>
        <v>154.70000000000255</v>
      </c>
      <c r="K19" s="149">
        <f>(J19*R19)</f>
        <v>61880.00000000102</v>
      </c>
      <c r="L19" s="163">
        <v>204.437</v>
      </c>
      <c r="M19" s="124">
        <v>0.03</v>
      </c>
      <c r="N19" s="126">
        <f t="shared" si="3"/>
        <v>88.79999999999768</v>
      </c>
      <c r="O19" s="127">
        <f t="shared" si="4"/>
        <v>35827.349999999984</v>
      </c>
      <c r="P19" s="124">
        <v>100</v>
      </c>
      <c r="Q19" s="126">
        <f t="shared" si="5"/>
        <v>4</v>
      </c>
      <c r="R19" s="128">
        <f t="shared" si="6"/>
        <v>400</v>
      </c>
    </row>
    <row r="20" spans="1:18" s="124" customFormat="1" ht="13.5">
      <c r="A20" s="121">
        <v>10</v>
      </c>
      <c r="B20" s="122">
        <f aca="true" t="shared" si="7" ref="B20:B31">B19+K19</f>
        <v>1256125.0000000005</v>
      </c>
      <c r="C20" s="160" t="s">
        <v>73</v>
      </c>
      <c r="D20" s="123">
        <f aca="true" t="shared" si="8" ref="D20:D30">Q20*0.1</f>
        <v>0.38</v>
      </c>
      <c r="E20" s="124" t="s">
        <v>91</v>
      </c>
      <c r="F20" s="161">
        <v>38834</v>
      </c>
      <c r="G20" s="131">
        <v>205.622</v>
      </c>
      <c r="H20" s="161">
        <v>38838</v>
      </c>
      <c r="I20" s="131">
        <v>207.187</v>
      </c>
      <c r="J20" s="125">
        <f aca="true" t="shared" si="9" ref="J20:J30">IF(C20="買",I20-G20,G20-I20)*100</f>
        <v>156.49999999999977</v>
      </c>
      <c r="K20" s="149">
        <f>(J20*R20)</f>
        <v>59469.99999999991</v>
      </c>
      <c r="L20" s="163">
        <v>204.632</v>
      </c>
      <c r="M20" s="124">
        <v>0.03</v>
      </c>
      <c r="N20" s="126">
        <f>(G20-L20)*100</f>
        <v>99.00000000000091</v>
      </c>
      <c r="O20" s="127">
        <f t="shared" si="4"/>
        <v>37683.750000000015</v>
      </c>
      <c r="P20" s="124">
        <v>100</v>
      </c>
      <c r="Q20" s="126">
        <f t="shared" si="5"/>
        <v>3.8</v>
      </c>
      <c r="R20" s="128">
        <f t="shared" si="6"/>
        <v>380</v>
      </c>
    </row>
    <row r="21" spans="1:18" s="124" customFormat="1" ht="13.5">
      <c r="A21" s="121">
        <v>11</v>
      </c>
      <c r="B21" s="122">
        <f t="shared" si="7"/>
        <v>1315595.0000000005</v>
      </c>
      <c r="C21" s="162" t="s">
        <v>83</v>
      </c>
      <c r="D21" s="123">
        <f t="shared" si="8"/>
        <v>-0.38</v>
      </c>
      <c r="E21" s="124" t="s">
        <v>91</v>
      </c>
      <c r="F21" s="161">
        <v>38946</v>
      </c>
      <c r="G21" s="131">
        <v>218.196</v>
      </c>
      <c r="H21" s="161">
        <v>38946</v>
      </c>
      <c r="I21" s="131">
        <v>218.196</v>
      </c>
      <c r="J21" s="125">
        <f t="shared" si="9"/>
        <v>0</v>
      </c>
      <c r="K21" s="149">
        <f>(J21*R21)</f>
        <v>0</v>
      </c>
      <c r="L21" s="163">
        <v>219.219</v>
      </c>
      <c r="M21" s="124">
        <v>0.03</v>
      </c>
      <c r="N21" s="126">
        <f>(G21-L21)*100</f>
        <v>-102.29999999999961</v>
      </c>
      <c r="O21" s="127">
        <f t="shared" si="4"/>
        <v>39467.85000000001</v>
      </c>
      <c r="P21" s="124">
        <v>100</v>
      </c>
      <c r="Q21" s="126">
        <f t="shared" si="5"/>
        <v>-3.8</v>
      </c>
      <c r="R21" s="128">
        <f t="shared" si="6"/>
        <v>-380</v>
      </c>
    </row>
    <row r="22" spans="1:18" s="124" customFormat="1" ht="13.5">
      <c r="A22" s="121">
        <v>12</v>
      </c>
      <c r="B22" s="122">
        <f t="shared" si="7"/>
        <v>1315595.0000000005</v>
      </c>
      <c r="C22" s="162" t="s">
        <v>83</v>
      </c>
      <c r="D22" s="123">
        <f t="shared" si="8"/>
        <v>-0.71</v>
      </c>
      <c r="E22" s="124" t="s">
        <v>91</v>
      </c>
      <c r="F22" s="161">
        <v>39017</v>
      </c>
      <c r="G22" s="131">
        <v>223.398</v>
      </c>
      <c r="H22" s="161">
        <v>39017</v>
      </c>
      <c r="I22" s="131">
        <v>222.941</v>
      </c>
      <c r="J22" s="125">
        <f t="shared" si="9"/>
        <v>45.69999999999936</v>
      </c>
      <c r="K22" s="172">
        <f aca="true" t="shared" si="10" ref="K22:K30">(J22*R22)*-1</f>
        <v>32446.99999999955</v>
      </c>
      <c r="L22" s="163">
        <v>223.951</v>
      </c>
      <c r="M22" s="124">
        <v>0.03</v>
      </c>
      <c r="N22" s="126">
        <f aca="true" t="shared" si="11" ref="N22:N28">IF(H22="買",L22-G22,G22-L22)*100</f>
        <v>-55.29999999999973</v>
      </c>
      <c r="O22" s="127">
        <f aca="true" t="shared" si="12" ref="O22:O30">B22*0.03</f>
        <v>39467.85000000001</v>
      </c>
      <c r="P22" s="124">
        <v>100</v>
      </c>
      <c r="Q22" s="126">
        <f aca="true" t="shared" si="13" ref="Q22:Q30">ROUNDDOWN(B22*M22/N22/P22,1)</f>
        <v>-7.1</v>
      </c>
      <c r="R22" s="128">
        <f aca="true" t="shared" si="14" ref="R22:R30">Q22*100</f>
        <v>-710</v>
      </c>
    </row>
    <row r="23" spans="1:18" s="124" customFormat="1" ht="13.5">
      <c r="A23" s="121">
        <v>13</v>
      </c>
      <c r="B23" s="122">
        <f t="shared" si="7"/>
        <v>1348042</v>
      </c>
      <c r="C23" s="162" t="s">
        <v>83</v>
      </c>
      <c r="D23" s="123">
        <f t="shared" si="8"/>
        <v>-0.53</v>
      </c>
      <c r="E23" s="124" t="s">
        <v>91</v>
      </c>
      <c r="F23" s="161">
        <v>39031</v>
      </c>
      <c r="G23" s="131">
        <v>223.857</v>
      </c>
      <c r="H23" s="161">
        <v>39036</v>
      </c>
      <c r="I23" s="131">
        <v>223.219</v>
      </c>
      <c r="J23" s="125">
        <f t="shared" si="9"/>
        <v>63.80000000000052</v>
      </c>
      <c r="K23" s="172">
        <f t="shared" si="10"/>
        <v>33814.00000000028</v>
      </c>
      <c r="L23" s="163">
        <v>224.608</v>
      </c>
      <c r="M23" s="124">
        <v>0.03</v>
      </c>
      <c r="N23" s="126">
        <f t="shared" si="11"/>
        <v>-75.10000000000048</v>
      </c>
      <c r="O23" s="127">
        <f t="shared" si="12"/>
        <v>40441.26</v>
      </c>
      <c r="P23" s="124">
        <v>100</v>
      </c>
      <c r="Q23" s="126">
        <f t="shared" si="13"/>
        <v>-5.3</v>
      </c>
      <c r="R23" s="128">
        <f t="shared" si="14"/>
        <v>-530</v>
      </c>
    </row>
    <row r="24" spans="1:18" s="124" customFormat="1" ht="13.5">
      <c r="A24" s="121">
        <v>14</v>
      </c>
      <c r="B24" s="122">
        <f t="shared" si="7"/>
        <v>1381856.0000000002</v>
      </c>
      <c r="C24" s="162" t="s">
        <v>83</v>
      </c>
      <c r="D24" s="123">
        <f t="shared" si="8"/>
        <v>-0.33</v>
      </c>
      <c r="E24" s="124" t="s">
        <v>91</v>
      </c>
      <c r="F24" s="144">
        <v>39167</v>
      </c>
      <c r="G24" s="131">
        <v>231.435</v>
      </c>
      <c r="H24" s="144">
        <v>39169</v>
      </c>
      <c r="I24" s="130">
        <v>230.056</v>
      </c>
      <c r="J24" s="125">
        <f t="shared" si="9"/>
        <v>137.89999999999907</v>
      </c>
      <c r="K24" s="172">
        <f t="shared" si="10"/>
        <v>45506.999999999694</v>
      </c>
      <c r="L24" s="165">
        <v>232.687</v>
      </c>
      <c r="M24" s="124">
        <v>0.03</v>
      </c>
      <c r="N24" s="126">
        <f t="shared" si="11"/>
        <v>-125.20000000000095</v>
      </c>
      <c r="O24" s="127">
        <f t="shared" si="12"/>
        <v>41455.68000000001</v>
      </c>
      <c r="P24" s="124">
        <v>100</v>
      </c>
      <c r="Q24" s="126">
        <f t="shared" si="13"/>
        <v>-3.3</v>
      </c>
      <c r="R24" s="128">
        <f t="shared" si="14"/>
        <v>-330</v>
      </c>
    </row>
    <row r="25" spans="1:18" s="124" customFormat="1" ht="13.5">
      <c r="A25" s="121">
        <v>15</v>
      </c>
      <c r="B25" s="122">
        <f t="shared" si="7"/>
        <v>1427363</v>
      </c>
      <c r="C25" s="162" t="s">
        <v>83</v>
      </c>
      <c r="D25" s="123">
        <f t="shared" si="8"/>
        <v>-0.87</v>
      </c>
      <c r="E25" s="124" t="s">
        <v>91</v>
      </c>
      <c r="F25" s="144">
        <v>39259</v>
      </c>
      <c r="G25" s="131">
        <v>246.962</v>
      </c>
      <c r="H25" s="144">
        <v>39259</v>
      </c>
      <c r="I25" s="131">
        <v>246.804</v>
      </c>
      <c r="J25" s="125">
        <f t="shared" si="9"/>
        <v>15.799999999998704</v>
      </c>
      <c r="K25" s="172">
        <f t="shared" si="10"/>
        <v>13745.99999999887</v>
      </c>
      <c r="L25" s="130">
        <v>247.452</v>
      </c>
      <c r="M25" s="124">
        <v>0.03</v>
      </c>
      <c r="N25" s="126">
        <f t="shared" si="11"/>
        <v>-49.00000000000091</v>
      </c>
      <c r="O25" s="127">
        <f t="shared" si="12"/>
        <v>42820.89</v>
      </c>
      <c r="P25" s="124">
        <v>100</v>
      </c>
      <c r="Q25" s="126">
        <f t="shared" si="13"/>
        <v>-8.7</v>
      </c>
      <c r="R25" s="128">
        <f t="shared" si="14"/>
        <v>-869.9999999999999</v>
      </c>
    </row>
    <row r="26" spans="1:18" s="124" customFormat="1" ht="13.5">
      <c r="A26" s="121">
        <v>16</v>
      </c>
      <c r="B26" s="122">
        <f t="shared" si="7"/>
        <v>1441108.9999999988</v>
      </c>
      <c r="C26" s="160" t="s">
        <v>73</v>
      </c>
      <c r="D26" s="123">
        <f t="shared" si="8"/>
        <v>0.27999999999999997</v>
      </c>
      <c r="E26" s="124" t="s">
        <v>91</v>
      </c>
      <c r="F26" s="144">
        <v>39295</v>
      </c>
      <c r="G26" s="131">
        <v>241.664</v>
      </c>
      <c r="H26" s="144">
        <v>39296</v>
      </c>
      <c r="I26" s="131">
        <v>242.378</v>
      </c>
      <c r="J26" s="125">
        <f t="shared" si="9"/>
        <v>71.39999999999986</v>
      </c>
      <c r="K26" s="149">
        <f>(J26*R26)</f>
        <v>19991.999999999964</v>
      </c>
      <c r="L26" s="165">
        <v>240.128</v>
      </c>
      <c r="M26" s="124">
        <v>0.03</v>
      </c>
      <c r="N26" s="126">
        <f t="shared" si="11"/>
        <v>153.60000000000014</v>
      </c>
      <c r="O26" s="127">
        <f t="shared" si="12"/>
        <v>43233.26999999996</v>
      </c>
      <c r="P26" s="124">
        <v>100</v>
      </c>
      <c r="Q26" s="126">
        <f t="shared" si="13"/>
        <v>2.8</v>
      </c>
      <c r="R26" s="128">
        <f t="shared" si="14"/>
        <v>280</v>
      </c>
    </row>
    <row r="27" spans="1:18" s="124" customFormat="1" ht="13.5">
      <c r="A27" s="121">
        <v>17</v>
      </c>
      <c r="B27" s="122">
        <f t="shared" si="7"/>
        <v>1461100.9999999988</v>
      </c>
      <c r="C27" s="162" t="s">
        <v>83</v>
      </c>
      <c r="D27" s="123">
        <f t="shared" si="8"/>
        <v>-0.6200000000000001</v>
      </c>
      <c r="E27" s="124" t="s">
        <v>91</v>
      </c>
      <c r="F27" s="144">
        <v>39364</v>
      </c>
      <c r="G27" s="131">
        <v>238.391</v>
      </c>
      <c r="H27" s="144">
        <v>39364</v>
      </c>
      <c r="I27" s="130">
        <v>238.1</v>
      </c>
      <c r="J27" s="125">
        <f t="shared" si="9"/>
        <v>29.09999999999968</v>
      </c>
      <c r="K27" s="172">
        <f t="shared" si="10"/>
        <v>18041.999999999804</v>
      </c>
      <c r="L27" s="165">
        <v>239.089</v>
      </c>
      <c r="M27" s="124">
        <v>0.03</v>
      </c>
      <c r="N27" s="126">
        <f t="shared" si="11"/>
        <v>-69.80000000000075</v>
      </c>
      <c r="O27" s="127">
        <f t="shared" si="12"/>
        <v>43833.02999999996</v>
      </c>
      <c r="P27" s="124">
        <v>100</v>
      </c>
      <c r="Q27" s="126">
        <f t="shared" si="13"/>
        <v>-6.2</v>
      </c>
      <c r="R27" s="128">
        <f t="shared" si="14"/>
        <v>-620</v>
      </c>
    </row>
    <row r="28" spans="1:18" s="124" customFormat="1" ht="13.5">
      <c r="A28" s="121">
        <v>18</v>
      </c>
      <c r="B28" s="122">
        <f t="shared" si="7"/>
        <v>1479142.9999999986</v>
      </c>
      <c r="C28" s="162" t="s">
        <v>83</v>
      </c>
      <c r="D28" s="123">
        <f t="shared" si="8"/>
        <v>-0.6000000000000001</v>
      </c>
      <c r="E28" s="124" t="s">
        <v>91</v>
      </c>
      <c r="F28" s="144">
        <v>39402</v>
      </c>
      <c r="G28" s="131">
        <v>239.113</v>
      </c>
      <c r="H28" s="144">
        <v>39402</v>
      </c>
      <c r="I28" s="131">
        <v>237.861</v>
      </c>
      <c r="J28" s="125">
        <f t="shared" si="9"/>
        <v>125.20000000000095</v>
      </c>
      <c r="K28" s="172">
        <f t="shared" si="10"/>
        <v>75120.00000000057</v>
      </c>
      <c r="L28" s="130">
        <v>239.845</v>
      </c>
      <c r="M28" s="124">
        <v>0.03</v>
      </c>
      <c r="N28" s="126">
        <f t="shared" si="11"/>
        <v>-73.19999999999993</v>
      </c>
      <c r="O28" s="127">
        <f t="shared" si="12"/>
        <v>44374.28999999996</v>
      </c>
      <c r="P28" s="124">
        <v>100</v>
      </c>
      <c r="Q28" s="126">
        <f t="shared" si="13"/>
        <v>-6</v>
      </c>
      <c r="R28" s="128">
        <f t="shared" si="14"/>
        <v>-600</v>
      </c>
    </row>
    <row r="29" spans="1:18" s="124" customFormat="1" ht="13.5">
      <c r="A29" s="121">
        <v>19</v>
      </c>
      <c r="B29" s="122">
        <f t="shared" si="7"/>
        <v>1554262.999999999</v>
      </c>
      <c r="C29" s="160" t="s">
        <v>73</v>
      </c>
      <c r="D29" s="123">
        <f t="shared" si="8"/>
        <v>0.37000000000000005</v>
      </c>
      <c r="E29" s="124" t="s">
        <v>91</v>
      </c>
      <c r="F29" s="144">
        <v>39402</v>
      </c>
      <c r="G29" s="131">
        <v>227.492</v>
      </c>
      <c r="H29" s="144">
        <v>39402</v>
      </c>
      <c r="I29" s="131">
        <v>227.492</v>
      </c>
      <c r="J29" s="125">
        <f t="shared" si="9"/>
        <v>0</v>
      </c>
      <c r="K29" s="149">
        <f>(J29*R29)</f>
        <v>0</v>
      </c>
      <c r="L29" s="130">
        <v>226.248</v>
      </c>
      <c r="M29" s="124">
        <v>0.03</v>
      </c>
      <c r="N29" s="126">
        <f>(G29-L29)*100</f>
        <v>124.39999999999998</v>
      </c>
      <c r="O29" s="127">
        <f t="shared" si="12"/>
        <v>46627.88999999997</v>
      </c>
      <c r="P29" s="124">
        <v>100</v>
      </c>
      <c r="Q29" s="126">
        <f t="shared" si="13"/>
        <v>3.7</v>
      </c>
      <c r="R29" s="128">
        <f t="shared" si="14"/>
        <v>370</v>
      </c>
    </row>
    <row r="30" spans="1:18" s="124" customFormat="1" ht="13.5">
      <c r="A30" s="121">
        <v>20</v>
      </c>
      <c r="B30" s="122">
        <f t="shared" si="7"/>
        <v>1554262.999999999</v>
      </c>
      <c r="C30" s="162" t="s">
        <v>83</v>
      </c>
      <c r="D30" s="123">
        <f t="shared" si="8"/>
        <v>-0.32000000000000006</v>
      </c>
      <c r="E30" s="124" t="s">
        <v>91</v>
      </c>
      <c r="F30" s="144">
        <v>39435</v>
      </c>
      <c r="G30" s="131">
        <v>225.977</v>
      </c>
      <c r="H30" s="144">
        <v>39436</v>
      </c>
      <c r="I30" s="131">
        <v>224.259</v>
      </c>
      <c r="J30" s="125">
        <f t="shared" si="9"/>
        <v>171.80000000000177</v>
      </c>
      <c r="K30" s="172">
        <f t="shared" si="10"/>
        <v>54976.00000000057</v>
      </c>
      <c r="L30" s="130">
        <v>227.416</v>
      </c>
      <c r="M30" s="124">
        <v>0.03</v>
      </c>
      <c r="N30" s="126">
        <f>(G30-L30)*100</f>
        <v>-143.8999999999993</v>
      </c>
      <c r="O30" s="127">
        <f t="shared" si="12"/>
        <v>46627.88999999997</v>
      </c>
      <c r="P30" s="124">
        <v>100</v>
      </c>
      <c r="Q30" s="126">
        <f t="shared" si="13"/>
        <v>-3.2</v>
      </c>
      <c r="R30" s="128">
        <f t="shared" si="14"/>
        <v>-320</v>
      </c>
    </row>
    <row r="31" spans="1:18" s="124" customFormat="1" ht="13.5">
      <c r="A31" s="121">
        <v>21</v>
      </c>
      <c r="B31" s="122">
        <f t="shared" si="7"/>
        <v>1609238.9999999995</v>
      </c>
      <c r="C31" s="160"/>
      <c r="D31" s="123"/>
      <c r="F31" s="144"/>
      <c r="G31" s="131"/>
      <c r="H31" s="144"/>
      <c r="I31" s="131"/>
      <c r="J31" s="125"/>
      <c r="K31" s="172"/>
      <c r="L31" s="166"/>
      <c r="N31" s="126"/>
      <c r="O31" s="127"/>
      <c r="Q31" s="126"/>
      <c r="R31" s="128"/>
    </row>
    <row r="32" spans="10:14" ht="13.5">
      <c r="J32" s="118">
        <f>SUM(J11:J31)</f>
        <v>1893.1000000000013</v>
      </c>
      <c r="K32" s="118">
        <f>SUM(K11:K31)</f>
        <v>609238.9999999995</v>
      </c>
      <c r="N32" s="105"/>
    </row>
    <row r="33" ht="13.5">
      <c r="J33" s="118"/>
    </row>
    <row r="34" spans="10:11" ht="13.5">
      <c r="J34" s="119" t="s">
        <v>68</v>
      </c>
      <c r="K34" s="147">
        <f>1000000+K32</f>
        <v>1609238.9999999995</v>
      </c>
    </row>
    <row r="36" ht="13.5">
      <c r="J36" s="120"/>
    </row>
    <row r="38" ht="13.5" customHeight="1" thickBot="1"/>
    <row r="39" spans="4:8" ht="14.25" thickBot="1">
      <c r="D39" s="104" t="s">
        <v>29</v>
      </c>
      <c r="F39" s="183" t="s">
        <v>30</v>
      </c>
      <c r="G39" s="184"/>
      <c r="H39" s="12" t="s">
        <v>31</v>
      </c>
    </row>
    <row r="40" spans="4:8" ht="13.5">
      <c r="D40" s="3" t="s">
        <v>32</v>
      </c>
      <c r="F40" s="3" t="str">
        <f>DATEDIF(F12,H30,"Y")&amp;"年"&amp;DATEDIF(F12,H30,"YM")&amp;"ヶ月"</f>
        <v>2年5ヶ月</v>
      </c>
      <c r="G40" s="137"/>
      <c r="H40" s="9"/>
    </row>
    <row r="41" spans="4:8" ht="13.5">
      <c r="D41" s="1" t="s">
        <v>33</v>
      </c>
      <c r="F41" s="1">
        <f>COUNTIF(C11:C31,"買")</f>
        <v>8</v>
      </c>
      <c r="G41" s="138"/>
      <c r="H41" s="6"/>
    </row>
    <row r="42" spans="4:8" ht="13.5">
      <c r="D42" s="1" t="s">
        <v>34</v>
      </c>
      <c r="F42" s="1">
        <f>COUNTIF(C11:C31,"売")</f>
        <v>12</v>
      </c>
      <c r="G42" s="138"/>
      <c r="H42" s="6"/>
    </row>
    <row r="43" spans="4:8" ht="13.5">
      <c r="D43" s="1" t="s">
        <v>35</v>
      </c>
      <c r="F43" s="3">
        <v>60</v>
      </c>
      <c r="G43" s="138"/>
      <c r="H43" s="6"/>
    </row>
    <row r="44" spans="4:8" ht="13.5">
      <c r="D44" s="1" t="s">
        <v>36</v>
      </c>
      <c r="F44" s="1">
        <f>COUNTIF(K11:K31,"&gt;0")</f>
        <v>15</v>
      </c>
      <c r="G44" s="138"/>
      <c r="H44" s="6"/>
    </row>
    <row r="45" spans="4:8" ht="13.5">
      <c r="D45" s="1" t="s">
        <v>37</v>
      </c>
      <c r="F45" s="1">
        <f>COUNTIF(K11:K31,"&lt;0")</f>
        <v>1</v>
      </c>
      <c r="G45" s="138"/>
      <c r="H45" s="6"/>
    </row>
    <row r="46" spans="4:8" ht="13.5">
      <c r="D46" s="1" t="s">
        <v>38</v>
      </c>
      <c r="F46" s="1">
        <f>COUNTIF(K13:K31,"=0")</f>
        <v>3</v>
      </c>
      <c r="G46" s="138"/>
      <c r="H46" s="6"/>
    </row>
    <row r="47" spans="4:8" ht="13.5">
      <c r="D47" s="4" t="s">
        <v>39</v>
      </c>
      <c r="F47" s="1">
        <v>0</v>
      </c>
      <c r="G47" s="138"/>
      <c r="H47" s="6"/>
    </row>
    <row r="48" spans="4:8" ht="13.5">
      <c r="D48" s="1" t="s">
        <v>40</v>
      </c>
      <c r="F48" s="145">
        <f>SUMIF(K10:K31,"&gt;0",K10:K31)</f>
        <v>645989.0000000002</v>
      </c>
      <c r="G48" s="138"/>
      <c r="H48" s="6"/>
    </row>
    <row r="49" spans="4:8" ht="13.5">
      <c r="D49" s="1" t="s">
        <v>41</v>
      </c>
      <c r="F49" s="145">
        <f>SUMIF(K11:K31,"&lt;0",K11:K31)</f>
        <v>-36750.000000000684</v>
      </c>
      <c r="G49" s="138"/>
      <c r="H49" s="6"/>
    </row>
    <row r="50" spans="4:8" ht="13.5">
      <c r="D50" s="1" t="s">
        <v>42</v>
      </c>
      <c r="F50" s="146">
        <f>F48+F49</f>
        <v>609238.9999999995</v>
      </c>
      <c r="G50" s="137"/>
      <c r="H50" s="5"/>
    </row>
    <row r="51" spans="4:8" ht="13.5">
      <c r="D51" s="1" t="s">
        <v>15</v>
      </c>
      <c r="F51" s="145">
        <f>F48/F44</f>
        <v>43065.93333333335</v>
      </c>
      <c r="G51" s="138"/>
      <c r="H51" s="6"/>
    </row>
    <row r="52" spans="4:8" ht="13.5">
      <c r="D52" s="1" t="s">
        <v>16</v>
      </c>
      <c r="F52" s="145">
        <f>F49/F45</f>
        <v>-36750.000000000684</v>
      </c>
      <c r="G52" s="138"/>
      <c r="H52" s="6"/>
    </row>
    <row r="53" spans="4:8" ht="13.5">
      <c r="D53" s="1" t="s">
        <v>43</v>
      </c>
      <c r="F53" s="1"/>
      <c r="G53" s="138"/>
      <c r="H53" s="6"/>
    </row>
    <row r="54" spans="4:8" ht="13.5">
      <c r="D54" s="1" t="s">
        <v>44</v>
      </c>
      <c r="F54" s="1"/>
      <c r="G54" s="138"/>
      <c r="H54" s="6"/>
    </row>
    <row r="55" spans="4:8" ht="13.5">
      <c r="D55" s="1" t="s">
        <v>45</v>
      </c>
      <c r="F55" s="1"/>
      <c r="G55" s="138"/>
      <c r="H55" s="6"/>
    </row>
    <row r="56" spans="4:8" ht="14.25" thickBot="1">
      <c r="D56" s="2" t="s">
        <v>14</v>
      </c>
      <c r="F56" s="167">
        <f>F44/F43</f>
        <v>0.25</v>
      </c>
      <c r="G56" s="138"/>
      <c r="H56" s="6"/>
    </row>
    <row r="57" spans="6:8" ht="13.5">
      <c r="F57" s="1"/>
      <c r="G57" s="138"/>
      <c r="H57" s="6"/>
    </row>
    <row r="58" spans="6:8" ht="14.25" thickBot="1">
      <c r="F58" s="2"/>
      <c r="G58" s="139"/>
      <c r="H58" s="7"/>
    </row>
    <row r="59" spans="6:8" ht="14.25" thickBot="1">
      <c r="F59" s="17" t="s">
        <v>28</v>
      </c>
      <c r="G59" s="140">
        <f>SUM(G40:G58)</f>
        <v>0</v>
      </c>
      <c r="H59" s="18">
        <f>SUM(H40:H58)</f>
        <v>0</v>
      </c>
    </row>
    <row r="62" spans="6:9" ht="14.25" thickBot="1">
      <c r="F62" s="185" t="s">
        <v>46</v>
      </c>
      <c r="G62" s="186"/>
      <c r="H62" s="11" t="s">
        <v>31</v>
      </c>
      <c r="I62" s="132" t="s">
        <v>47</v>
      </c>
    </row>
    <row r="63" spans="6:9" ht="13.5">
      <c r="F63" s="3" t="s">
        <v>48</v>
      </c>
      <c r="G63" s="137">
        <v>0</v>
      </c>
      <c r="H63" s="10">
        <v>0</v>
      </c>
      <c r="I63" s="133">
        <v>0</v>
      </c>
    </row>
    <row r="64" spans="6:9" ht="13.5">
      <c r="F64" s="1" t="s">
        <v>49</v>
      </c>
      <c r="G64" s="138">
        <v>0</v>
      </c>
      <c r="H64" s="8">
        <v>0</v>
      </c>
      <c r="I64" s="134">
        <v>0</v>
      </c>
    </row>
    <row r="65" spans="6:9" ht="13.5">
      <c r="F65" s="1" t="s">
        <v>50</v>
      </c>
      <c r="G65" s="138">
        <v>0</v>
      </c>
      <c r="H65" s="8">
        <v>0</v>
      </c>
      <c r="I65" s="134">
        <v>0</v>
      </c>
    </row>
    <row r="66" spans="6:9" ht="13.5">
      <c r="F66" s="1" t="s">
        <v>51</v>
      </c>
      <c r="G66" s="138">
        <v>0</v>
      </c>
      <c r="H66" s="8">
        <v>0</v>
      </c>
      <c r="I66" s="134">
        <v>0</v>
      </c>
    </row>
    <row r="67" spans="6:9" ht="14.25" thickBot="1">
      <c r="F67" s="14" t="s">
        <v>52</v>
      </c>
      <c r="G67" s="141">
        <v>0</v>
      </c>
      <c r="H67" s="15">
        <v>0</v>
      </c>
      <c r="I67" s="135">
        <v>0</v>
      </c>
    </row>
    <row r="68" spans="6:9" ht="14.25" thickBot="1">
      <c r="F68" s="13" t="s">
        <v>28</v>
      </c>
      <c r="G68" s="142"/>
      <c r="H68" s="16"/>
      <c r="I68" s="136">
        <f>SUM(I63:I67)</f>
        <v>0</v>
      </c>
    </row>
    <row r="97" ht="13.5" customHeight="1">
      <c r="G97" s="143"/>
    </row>
    <row r="98" ht="13.5" customHeight="1">
      <c r="G98" s="143"/>
    </row>
  </sheetData>
  <sheetProtection/>
  <mergeCells count="2">
    <mergeCell ref="F39:G39"/>
    <mergeCell ref="F62:G62"/>
  </mergeCells>
  <conditionalFormatting sqref="C11 C13:C14 C17 C21:C25 C27:C28 C30">
    <cfRule type="cellIs" priority="228" dxfId="1" operator="equal" stopIfTrue="1">
      <formula>"買"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4"/>
  <sheetViews>
    <sheetView zoomScalePageLayoutView="0" workbookViewId="0" topLeftCell="A1">
      <selection activeCell="A375" sqref="A375"/>
    </sheetView>
  </sheetViews>
  <sheetFormatPr defaultColWidth="9.00390625" defaultRowHeight="13.5"/>
  <sheetData>
    <row r="1" ht="28.5">
      <c r="A1" s="169" t="s">
        <v>93</v>
      </c>
    </row>
    <row r="3" spans="1:10" ht="30.75">
      <c r="A3" s="170" t="s">
        <v>88</v>
      </c>
      <c r="J3" s="170" t="s">
        <v>94</v>
      </c>
    </row>
    <row r="8" ht="13.5">
      <c r="A8">
        <v>1</v>
      </c>
    </row>
    <row r="45" ht="42">
      <c r="A45" s="171">
        <v>1</v>
      </c>
    </row>
    <row r="86" ht="42">
      <c r="A86" s="171">
        <v>2</v>
      </c>
    </row>
    <row r="128" ht="42">
      <c r="A128" s="171">
        <v>3</v>
      </c>
    </row>
    <row r="169" ht="42">
      <c r="A169" s="171">
        <v>4</v>
      </c>
    </row>
    <row r="210" ht="42">
      <c r="A210" s="171">
        <v>5</v>
      </c>
    </row>
    <row r="251" ht="42">
      <c r="A251" s="171">
        <v>6</v>
      </c>
    </row>
    <row r="292" ht="42">
      <c r="A292" s="171">
        <v>7</v>
      </c>
    </row>
    <row r="333" ht="42">
      <c r="A333" s="171">
        <v>8</v>
      </c>
    </row>
    <row r="374" ht="42">
      <c r="A374" s="171">
        <v>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B3" sqref="B3"/>
    </sheetView>
  </sheetViews>
  <sheetFormatPr defaultColWidth="8.875" defaultRowHeight="13.5"/>
  <cols>
    <col min="1" max="1" width="8.875" style="0" customWidth="1"/>
    <col min="2" max="2" width="76.00390625" style="0" customWidth="1"/>
  </cols>
  <sheetData>
    <row r="1" spans="1:9" ht="13.5">
      <c r="A1" s="99" t="s">
        <v>53</v>
      </c>
      <c r="B1" s="100"/>
      <c r="C1" s="100"/>
      <c r="D1" s="100"/>
      <c r="E1" s="100"/>
      <c r="F1" s="100"/>
      <c r="G1" s="100"/>
      <c r="H1" s="100"/>
      <c r="I1" s="103"/>
    </row>
    <row r="2" spans="1:9" ht="13.5">
      <c r="A2" s="101" t="s">
        <v>54</v>
      </c>
      <c r="B2" s="102"/>
      <c r="C2" s="102"/>
      <c r="D2" s="102"/>
      <c r="E2" s="102"/>
      <c r="F2" s="102"/>
      <c r="G2" s="102"/>
      <c r="H2" s="102"/>
      <c r="I2" s="103"/>
    </row>
    <row r="3" spans="1:4" ht="13.5">
      <c r="A3" s="98"/>
      <c r="D3" s="98"/>
    </row>
    <row r="5" spans="1:2" ht="13.5">
      <c r="A5" t="s">
        <v>55</v>
      </c>
      <c r="B5" t="s">
        <v>95</v>
      </c>
    </row>
    <row r="6" ht="13.5">
      <c r="B6" t="s">
        <v>96</v>
      </c>
    </row>
    <row r="8" ht="13.5">
      <c r="B8" t="s">
        <v>97</v>
      </c>
    </row>
    <row r="9" ht="13.5">
      <c r="B9" t="s">
        <v>98</v>
      </c>
    </row>
    <row r="11" ht="13.5">
      <c r="B11" t="s">
        <v>100</v>
      </c>
    </row>
    <row r="12" ht="13.5">
      <c r="B12" t="s">
        <v>99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56</v>
      </c>
      <c r="C4" t="s">
        <v>57</v>
      </c>
      <c r="D4" t="s">
        <v>58</v>
      </c>
      <c r="E4" t="s">
        <v>59</v>
      </c>
    </row>
    <row r="5" spans="3:5" ht="13.5">
      <c r="C5" t="s">
        <v>60</v>
      </c>
      <c r="D5" t="s">
        <v>58</v>
      </c>
      <c r="E5" t="s">
        <v>59</v>
      </c>
    </row>
    <row r="9" spans="2:5" ht="13.5">
      <c r="B9" t="s">
        <v>61</v>
      </c>
      <c r="D9" t="s">
        <v>57</v>
      </c>
      <c r="E9" t="s">
        <v>62</v>
      </c>
    </row>
    <row r="10" spans="4:5" ht="13.5">
      <c r="D10" t="s">
        <v>63</v>
      </c>
      <c r="E10" t="s">
        <v>62</v>
      </c>
    </row>
    <row r="13" spans="2:5" ht="13.5">
      <c r="B13" t="s">
        <v>64</v>
      </c>
      <c r="E13" t="s">
        <v>57</v>
      </c>
    </row>
    <row r="14" ht="13.5">
      <c r="E14" t="s">
        <v>65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mh</cp:lastModifiedBy>
  <cp:lastPrinted>1899-12-30T00:00:00Z</cp:lastPrinted>
  <dcterms:created xsi:type="dcterms:W3CDTF">2013-10-09T23:04:08Z</dcterms:created>
  <dcterms:modified xsi:type="dcterms:W3CDTF">2015-09-06T10:06:49Z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