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2"/>
  </bookViews>
  <sheets>
    <sheet name="検証データ雛形" sheetId="1" r:id="rId1"/>
    <sheet name="ルール＆合計" sheetId="2" r:id="rId2"/>
    <sheet name="デモトレ2015.10.08～" sheetId="3" r:id="rId3"/>
    <sheet name="画像" sheetId="4" r:id="rId4"/>
    <sheet name="気づき" sheetId="5" r:id="rId5"/>
    <sheet name="検証終了通貨" sheetId="6" r:id="rId6"/>
  </sheets>
  <definedNames/>
  <calcPr fullCalcOnLoad="1"/>
</workbook>
</file>

<file path=xl/sharedStrings.xml><?xml version="1.0" encoding="utf-8"?>
<sst xmlns="http://schemas.openxmlformats.org/spreadsheetml/2006/main" count="254" uniqueCount="124">
  <si>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</si>
  <si>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</si>
  <si>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</si>
  <si>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</si>
  <si>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</si>
  <si>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</si>
  <si>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</si>
  <si>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</si>
  <si>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</si>
  <si>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</si>
  <si>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</si>
  <si>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</si>
  <si>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</si>
  <si>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</si>
  <si>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</si>
  <si>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</si>
  <si>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</si>
  <si>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</si>
  <si>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</si>
  <si>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</si>
  <si>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</si>
  <si>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</si>
  <si>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</si>
  <si>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</si>
  <si>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</si>
  <si>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</si>
  <si>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</si>
  <si>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</si>
  <si>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</si>
  <si>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</si>
  <si>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</si>
  <si>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</si>
  <si>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</si>
  <si>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</si>
  <si>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</si>
  <si>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</si>
  <si>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</si>
  <si>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</si>
  <si>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</si>
  <si>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</si>
  <si>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</si>
  <si>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</si>
  <si>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</si>
  <si>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</si>
  <si>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</si>
  <si>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</si>
  <si>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</si>
  <si>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</si>
  <si>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</si>
  <si>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</si>
  <si>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</si>
  <si>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</si>
  <si>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</si>
  <si>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</si>
  <si>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</si>
  <si>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</si>
  <si>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</si>
  <si>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</si>
  <si>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</si>
  <si>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</si>
  <si>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</si>
  <si>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</si>
  <si>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</si>
  <si>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</si>
  <si>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</si>
  <si>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</si>
  <si>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</si>
  <si>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</si>
  <si>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</si>
  <si>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</si>
  <si>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</si>
  <si>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</si>
  <si>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</si>
  <si>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USD/JPY</t>
  </si>
  <si>
    <t>売り</t>
  </si>
  <si>
    <t>負け</t>
  </si>
  <si>
    <t>引き分け</t>
  </si>
  <si>
    <t>240分足</t>
  </si>
  <si>
    <t>数量(**万通貨)</t>
  </si>
  <si>
    <t>売買(売=-1)</t>
  </si>
  <si>
    <t>ロスカット価格</t>
  </si>
  <si>
    <t>PB</t>
  </si>
  <si>
    <t>2010.02.15 20:00.</t>
  </si>
  <si>
    <t>2010.02.16.04:00</t>
  </si>
  <si>
    <t>買い-売り</t>
  </si>
  <si>
    <t>買い+売り</t>
  </si>
  <si>
    <t>買い</t>
  </si>
  <si>
    <t>合計</t>
  </si>
  <si>
    <t>勝ち+負け</t>
  </si>
  <si>
    <t>勝ち</t>
  </si>
  <si>
    <t>2014.08.11 12:00</t>
  </si>
  <si>
    <t>2014.08.15 08:00.</t>
  </si>
  <si>
    <t>リスクリワード?PF?</t>
  </si>
  <si>
    <t>気づき：</t>
  </si>
  <si>
    <t>60分足</t>
  </si>
  <si>
    <t>EUR/USD</t>
  </si>
  <si>
    <t>日足</t>
  </si>
  <si>
    <t>EB</t>
  </si>
  <si>
    <t>2015.10.07 23.30</t>
  </si>
  <si>
    <t>2015.10.08 03:00</t>
  </si>
  <si>
    <t>2015.10.08 03:00 .</t>
  </si>
  <si>
    <t>2015.10.08 03.00</t>
  </si>
  <si>
    <t>2015.10.08 08:00</t>
  </si>
  <si>
    <t>2015.10.08 07:00</t>
  </si>
  <si>
    <t>2015.10.08 11:00</t>
  </si>
  <si>
    <t>2015.10.08 14:00</t>
  </si>
  <si>
    <t>2015.10.08 14:00</t>
  </si>
  <si>
    <t>2015.10.09 00:00</t>
  </si>
  <si>
    <t>2015.10.12 05:00</t>
  </si>
  <si>
    <t>2015.10.12 10:00</t>
  </si>
  <si>
    <t>2015.10.12 11:00</t>
  </si>
  <si>
    <t>2015.10.12 20:00</t>
  </si>
  <si>
    <t>2015.10.13 01:00</t>
  </si>
  <si>
    <t>2015.10.13 00:00</t>
  </si>
  <si>
    <t>2015.10.08 22:00</t>
  </si>
  <si>
    <t>EB</t>
  </si>
  <si>
    <t>2015.10.13 10:00</t>
  </si>
  <si>
    <t>2015.10.13 21:00</t>
  </si>
  <si>
    <t>2015.10.14 04:00</t>
  </si>
  <si>
    <t>2015.10.15 08:00</t>
  </si>
  <si>
    <t>2015.10.15 03:00</t>
  </si>
  <si>
    <t>2009.10.16 05:00</t>
  </si>
  <si>
    <t>2015.10.</t>
  </si>
  <si>
    <t>2015.10.15 21:00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</si>
</sst>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7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4" fillId="33" borderId="70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12" sqref="P1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8" width="13.125" style="0" customWidth="1"/>
    <col min="9" max="9" width="11.25390625" style="0" customWidth="1"/>
    <col min="10" max="10" width="15.875" style="0" customWidth="1"/>
    <col min="11" max="11" width="10.00390625" style="0" customWidth="1"/>
    <col min="12" max="12" width="18.375" style="0" customWidth="1"/>
    <col min="13" max="13" width="9.00390625" style="0" customWidth="1"/>
    <col min="14" max="15" width="10.00390625" style="0" customWidth="1"/>
    <col min="16" max="16" width="15.875" style="0" customWidth="1"/>
    <col min="17" max="17" width="0.12890625" style="0" customWidth="1"/>
    <col min="18" max="18" width="10.00390625" style="0" hidden="1" customWidth="1"/>
    <col min="19" max="19" width="0.2421875" style="0" customWidth="1"/>
  </cols>
  <sheetData>
    <row r="1" spans="1:16" ht="14.25" thickBot="1">
      <c r="A1" s="39" t="s">
        <v>22</v>
      </c>
      <c r="B1" s="40" t="s">
        <v>79</v>
      </c>
      <c r="C1" s="40" t="s">
        <v>78</v>
      </c>
      <c r="D1" s="40" t="s">
        <v>23</v>
      </c>
      <c r="E1" s="40" t="s">
        <v>24</v>
      </c>
      <c r="F1" s="40" t="s">
        <v>25</v>
      </c>
      <c r="G1" s="40" t="s">
        <v>26</v>
      </c>
      <c r="H1" s="40" t="s">
        <v>80</v>
      </c>
      <c r="I1" s="40" t="s">
        <v>27</v>
      </c>
      <c r="J1" s="40" t="s">
        <v>28</v>
      </c>
      <c r="K1" s="40" t="s">
        <v>29</v>
      </c>
      <c r="L1" s="40" t="s">
        <v>30</v>
      </c>
      <c r="M1" s="40" t="s">
        <v>31</v>
      </c>
      <c r="N1" s="40" t="s">
        <v>32</v>
      </c>
      <c r="O1" s="124" t="s">
        <v>33</v>
      </c>
      <c r="P1" s="41" t="s">
        <v>34</v>
      </c>
    </row>
    <row r="2" spans="1:19" ht="13.5" customHeight="1">
      <c r="A2" t="s">
        <v>73</v>
      </c>
      <c r="B2">
        <f>IF(G2&gt;H2,1,-1)</f>
        <v>1</v>
      </c>
      <c r="C2">
        <f>INT(10/(G2-H2)*B2)/10</f>
        <v>7.1</v>
      </c>
      <c r="D2" t="s">
        <v>81</v>
      </c>
      <c r="E2" t="s">
        <v>77</v>
      </c>
      <c r="F2" t="s">
        <v>82</v>
      </c>
      <c r="G2">
        <v>90.03</v>
      </c>
      <c r="H2">
        <v>89.89</v>
      </c>
      <c r="I2" t="s">
        <v>77</v>
      </c>
      <c r="J2" t="s">
        <v>83</v>
      </c>
      <c r="K2">
        <v>89.89</v>
      </c>
      <c r="L2" t="str">
        <f>IF(B2&gt;0,"ストップ切上げ","ストップ切り下げ")</f>
        <v>ストップ切上げ</v>
      </c>
      <c r="M2">
        <f>IF(P2&gt;0,1,IF(P2&lt;0,-1,0))</f>
        <v>-1</v>
      </c>
      <c r="N2">
        <f>IF((K2-G2)*B2&gt;0,(K2-G2)*B2*100,0)</f>
        <v>0</v>
      </c>
      <c r="O2">
        <f>IF((K2-G2)*B2&lt;0,(G2-K2)*B2*100,0)</f>
        <v>14.000000000000057</v>
      </c>
      <c r="P2">
        <f>(K2-G2)*C2*B2*10000</f>
        <v>-9940.00000000004</v>
      </c>
      <c r="Q2">
        <f>IF(P2&gt;0,P2,0)</f>
        <v>0</v>
      </c>
      <c r="R2">
        <f>IF(P2&lt;0,P2,0)</f>
        <v>-9940.00000000004</v>
      </c>
      <c r="S2">
        <f>M2</f>
        <v>-1</v>
      </c>
    </row>
    <row r="3" spans="1:19" ht="12.75" customHeight="1">
      <c r="A3" t="s">
        <v>73</v>
      </c>
      <c r="B3">
        <f>IF(G3&gt;H3,1,-1)</f>
        <v>1</v>
      </c>
      <c r="C3">
        <f>INT(10/(G3-H3)*B3)/10</f>
        <v>6.6</v>
      </c>
      <c r="D3" t="s">
        <v>81</v>
      </c>
      <c r="E3" t="s">
        <v>77</v>
      </c>
      <c r="F3" t="s">
        <v>90</v>
      </c>
      <c r="G3">
        <v>102.2</v>
      </c>
      <c r="H3">
        <v>102.05</v>
      </c>
      <c r="I3" t="s">
        <v>77</v>
      </c>
      <c r="J3" t="s">
        <v>91</v>
      </c>
      <c r="K3">
        <v>102.29</v>
      </c>
      <c r="L3" t="str">
        <f>IF(B3&gt;0,"ストップ切上げ","ストップ切り下げ")</f>
        <v>ストップ切上げ</v>
      </c>
      <c r="M3">
        <f>IF(P3&gt;0,1,IF(P3&lt;0,-1,0))</f>
        <v>1</v>
      </c>
      <c r="N3">
        <f>IF((K3-G3)*B3&gt;0,(K3-G3)*B3*100,0)</f>
        <v>9.000000000000341</v>
      </c>
      <c r="O3">
        <f>IF((K3-G3)*B3&lt;0,(G3-K3)*B3*100,0)</f>
        <v>0</v>
      </c>
      <c r="P3">
        <f>(K3-G3)*C3*B3*10000</f>
        <v>5940.000000000226</v>
      </c>
      <c r="Q3">
        <f>IF(P3&gt;0,P3,0)</f>
        <v>5940.000000000226</v>
      </c>
      <c r="R3">
        <f>IF(P3&lt;0,P3,0)</f>
        <v>0</v>
      </c>
      <c r="S3">
        <f>IF(M3=M2,S2+M3,M3)</f>
        <v>1</v>
      </c>
    </row>
    <row r="4" spans="14:15" ht="13.5">
      <c r="N4" s="10"/>
      <c r="O4" s="10"/>
    </row>
    <row r="5" spans="1:18" ht="14.25" customHeight="1">
      <c r="A5" t="s">
        <v>84</v>
      </c>
      <c r="B5">
        <f>SUM(B2:B4)</f>
        <v>2</v>
      </c>
      <c r="L5" t="s">
        <v>87</v>
      </c>
      <c r="M5" s="42">
        <f>SUM(M2:M4)</f>
        <v>0</v>
      </c>
      <c r="N5" s="10">
        <f>INT(SUM(N2:N4))</f>
        <v>9</v>
      </c>
      <c r="O5" s="10">
        <f>INT(SUM(O2:O4))</f>
        <v>14</v>
      </c>
      <c r="P5">
        <f>SUM(P2:P4)</f>
        <v>-3999.9999999998145</v>
      </c>
      <c r="Q5">
        <f>SUM(Q2:Q4)</f>
        <v>5940.000000000226</v>
      </c>
      <c r="R5">
        <f>SUM(R2:R4)</f>
        <v>-9940.00000000004</v>
      </c>
    </row>
    <row r="6" spans="1:15" ht="1.5" customHeight="1" hidden="1">
      <c r="A6" t="s">
        <v>85</v>
      </c>
      <c r="B6">
        <f>SUMSQ(B2:B4)</f>
        <v>2</v>
      </c>
      <c r="L6" t="s">
        <v>88</v>
      </c>
      <c r="M6">
        <f>SUMSQ(M2:M4)</f>
        <v>2</v>
      </c>
      <c r="N6" s="10"/>
      <c r="O6" s="10"/>
    </row>
    <row r="7" spans="1:15" ht="17.25" customHeight="1" hidden="1">
      <c r="A7" t="s">
        <v>86</v>
      </c>
      <c r="B7">
        <f>(B5+B6)/2</f>
        <v>2</v>
      </c>
      <c r="L7" t="s">
        <v>89</v>
      </c>
      <c r="M7">
        <f>(M6+M5)/2</f>
        <v>1</v>
      </c>
      <c r="N7" s="10"/>
      <c r="O7" s="10"/>
    </row>
    <row r="8" spans="1:13" ht="15.75" customHeight="1" hidden="1">
      <c r="A8" t="s">
        <v>74</v>
      </c>
      <c r="B8">
        <f>(B6-B5)/2</f>
        <v>0</v>
      </c>
      <c r="L8" t="s">
        <v>75</v>
      </c>
      <c r="M8">
        <f>(M6-M5)/2</f>
        <v>1</v>
      </c>
    </row>
    <row r="9" spans="12:15" ht="0.75" customHeight="1">
      <c r="L9" t="s">
        <v>76</v>
      </c>
      <c r="M9" s="11">
        <f>B6-M6</f>
        <v>0</v>
      </c>
      <c r="N9" s="12"/>
      <c r="O9" s="12"/>
    </row>
    <row r="11" ht="13.5" customHeight="1" thickBot="1"/>
    <row r="12" spans="3:10" ht="14.25" thickBot="1">
      <c r="C12" s="131" t="s">
        <v>36</v>
      </c>
      <c r="D12" s="132"/>
      <c r="F12" s="133" t="s">
        <v>37</v>
      </c>
      <c r="G12" s="134"/>
      <c r="H12" s="28"/>
      <c r="I12" s="28" t="s">
        <v>38</v>
      </c>
      <c r="J12" s="31" t="s">
        <v>39</v>
      </c>
    </row>
    <row r="13" spans="3:10" ht="13.5">
      <c r="C13" s="5" t="s">
        <v>40</v>
      </c>
      <c r="D13" s="6" t="str">
        <f>F2&amp;"～"&amp;F3</f>
        <v>2010.02.15 20:00.～2014.08.11 12:00</v>
      </c>
      <c r="F13" s="5"/>
      <c r="G13" s="15"/>
      <c r="H13" s="21"/>
      <c r="I13" s="21"/>
      <c r="J13" s="24"/>
    </row>
    <row r="14" spans="3:10" ht="13.5">
      <c r="C14" s="2" t="s">
        <v>41</v>
      </c>
      <c r="D14" s="1">
        <f>B7</f>
        <v>2</v>
      </c>
      <c r="F14" s="2"/>
      <c r="G14" s="17"/>
      <c r="H14" s="22"/>
      <c r="I14" s="22"/>
      <c r="J14" s="18"/>
    </row>
    <row r="15" spans="3:10" ht="13.5">
      <c r="C15" s="2" t="s">
        <v>42</v>
      </c>
      <c r="D15" s="1">
        <f>B8</f>
        <v>0</v>
      </c>
      <c r="F15" s="2"/>
      <c r="G15" s="17"/>
      <c r="H15" s="22"/>
      <c r="I15" s="22"/>
      <c r="J15" s="18"/>
    </row>
    <row r="16" spans="3:10" ht="13.5">
      <c r="C16" s="2" t="s">
        <v>43</v>
      </c>
      <c r="D16" s="1">
        <f>B6</f>
        <v>2</v>
      </c>
      <c r="F16" s="2"/>
      <c r="G16" s="17"/>
      <c r="H16" s="22"/>
      <c r="I16" s="22"/>
      <c r="J16" s="18"/>
    </row>
    <row r="17" spans="3:10" ht="13.5">
      <c r="C17" s="2" t="s">
        <v>44</v>
      </c>
      <c r="D17" s="1">
        <f>M7</f>
        <v>1</v>
      </c>
      <c r="F17" s="2"/>
      <c r="G17" s="17"/>
      <c r="H17" s="22"/>
      <c r="I17" s="22"/>
      <c r="J17" s="18"/>
    </row>
    <row r="18" spans="3:10" ht="13.5">
      <c r="C18" s="2" t="s">
        <v>45</v>
      </c>
      <c r="D18" s="4">
        <f>M8</f>
        <v>1</v>
      </c>
      <c r="F18" s="2"/>
      <c r="G18" s="17"/>
      <c r="H18" s="22"/>
      <c r="I18" s="22"/>
      <c r="J18" s="18"/>
    </row>
    <row r="19" spans="3:10" ht="13.5">
      <c r="C19" s="2" t="s">
        <v>46</v>
      </c>
      <c r="D19" s="1">
        <f>M9</f>
        <v>0</v>
      </c>
      <c r="F19" s="2"/>
      <c r="G19" s="17"/>
      <c r="H19" s="22"/>
      <c r="I19" s="22"/>
      <c r="J19" s="18"/>
    </row>
    <row r="20" spans="3:10" ht="13.5">
      <c r="C20" s="8" t="s">
        <v>47</v>
      </c>
      <c r="D20" s="9">
        <v>0</v>
      </c>
      <c r="F20" s="2"/>
      <c r="G20" s="17"/>
      <c r="H20" s="22"/>
      <c r="I20" s="22"/>
      <c r="J20" s="18"/>
    </row>
    <row r="21" spans="3:10" ht="13.5">
      <c r="C21" s="2" t="s">
        <v>48</v>
      </c>
      <c r="D21" s="1">
        <f>Q5</f>
        <v>5940.000000000226</v>
      </c>
      <c r="F21" s="2"/>
      <c r="G21" s="17"/>
      <c r="H21" s="22"/>
      <c r="I21" s="22"/>
      <c r="J21" s="18"/>
    </row>
    <row r="22" spans="3:10" ht="13.5">
      <c r="C22" s="2" t="s">
        <v>49</v>
      </c>
      <c r="D22" s="4">
        <f>R5</f>
        <v>-9940.00000000004</v>
      </c>
      <c r="F22" s="2"/>
      <c r="G22" s="17"/>
      <c r="H22" s="22"/>
      <c r="I22" s="22"/>
      <c r="J22" s="18"/>
    </row>
    <row r="23" spans="3:10" ht="13.5">
      <c r="C23" s="2" t="s">
        <v>50</v>
      </c>
      <c r="D23" s="1">
        <f>P5</f>
        <v>-3999.9999999998145</v>
      </c>
      <c r="F23" s="5"/>
      <c r="G23" s="15"/>
      <c r="H23" s="21"/>
      <c r="I23" s="21"/>
      <c r="J23" s="16"/>
    </row>
    <row r="24" spans="3:10" ht="13.5">
      <c r="C24" s="2" t="s">
        <v>15</v>
      </c>
      <c r="D24" s="13">
        <f>D21/D17</f>
        <v>5940.000000000226</v>
      </c>
      <c r="F24" s="2"/>
      <c r="G24" s="17"/>
      <c r="H24" s="22"/>
      <c r="I24" s="22"/>
      <c r="J24" s="18"/>
    </row>
    <row r="25" spans="3:10" ht="13.5">
      <c r="C25" s="2" t="s">
        <v>16</v>
      </c>
      <c r="D25" s="13">
        <f>D22/D18</f>
        <v>-9940.00000000004</v>
      </c>
      <c r="F25" s="2"/>
      <c r="G25" s="17"/>
      <c r="H25" s="22"/>
      <c r="I25" s="22"/>
      <c r="J25" s="18"/>
    </row>
    <row r="26" spans="3:10" ht="13.5">
      <c r="C26" s="2" t="s">
        <v>51</v>
      </c>
      <c r="D26" s="1">
        <f>MAX(S2:S4)</f>
        <v>1</v>
      </c>
      <c r="F26" s="2"/>
      <c r="G26" s="17"/>
      <c r="H26" s="22"/>
      <c r="I26" s="22"/>
      <c r="J26" s="18"/>
    </row>
    <row r="27" spans="3:10" ht="13.5">
      <c r="C27" s="2" t="s">
        <v>52</v>
      </c>
      <c r="D27" s="1">
        <f>-MIN(S2:S4)</f>
        <v>1</v>
      </c>
      <c r="F27" s="2"/>
      <c r="G27" s="17"/>
      <c r="H27" s="22"/>
      <c r="I27" s="22"/>
      <c r="J27" s="18"/>
    </row>
    <row r="28" spans="3:10" ht="13.5">
      <c r="C28" s="2" t="s">
        <v>53</v>
      </c>
      <c r="D28" s="14">
        <f>MAX(N2:N4)</f>
        <v>9.000000000000341</v>
      </c>
      <c r="F28" s="2"/>
      <c r="G28" s="17"/>
      <c r="H28" s="22"/>
      <c r="I28" s="22"/>
      <c r="J28" s="18"/>
    </row>
    <row r="29" spans="3:10" ht="14.25" thickBot="1">
      <c r="C29" s="3" t="s">
        <v>14</v>
      </c>
      <c r="D29" s="7">
        <f>D17/(D17+D18)</f>
        <v>0.5</v>
      </c>
      <c r="F29" s="2"/>
      <c r="G29" s="17"/>
      <c r="H29" s="22"/>
      <c r="I29" s="22"/>
      <c r="J29" s="18"/>
    </row>
    <row r="30" spans="3:10" ht="13.5">
      <c r="C30" s="8" t="s">
        <v>92</v>
      </c>
      <c r="D30">
        <f>(INT(-100*D24/D25))/100</f>
        <v>0.59</v>
      </c>
      <c r="F30" s="2"/>
      <c r="G30" s="17"/>
      <c r="H30" s="22"/>
      <c r="I30" s="22"/>
      <c r="J30" s="18"/>
    </row>
    <row r="31" spans="6:10" ht="14.25" thickBot="1">
      <c r="F31" s="3"/>
      <c r="G31" s="19"/>
      <c r="H31" s="23"/>
      <c r="I31" s="23"/>
      <c r="J31" s="20"/>
    </row>
    <row r="32" spans="6:10" ht="14.25" thickBot="1">
      <c r="F32" s="38" t="s">
        <v>35</v>
      </c>
      <c r="G32" s="43">
        <f>SUM(G13:G31)</f>
        <v>0</v>
      </c>
      <c r="H32" s="43"/>
      <c r="I32" s="43">
        <f>SUM(I13:I31)</f>
        <v>0</v>
      </c>
      <c r="J32" s="43">
        <f>SUM(J13:J31)</f>
        <v>0</v>
      </c>
    </row>
    <row r="35" spans="6:11" ht="14.25" thickBot="1">
      <c r="F35" s="133" t="s">
        <v>54</v>
      </c>
      <c r="G35" s="134"/>
      <c r="H35" s="28"/>
      <c r="I35" s="28" t="s">
        <v>38</v>
      </c>
      <c r="J35" s="29" t="s">
        <v>39</v>
      </c>
      <c r="K35" s="30" t="s">
        <v>55</v>
      </c>
    </row>
    <row r="36" spans="6:11" ht="13.5">
      <c r="F36" s="5" t="s">
        <v>56</v>
      </c>
      <c r="G36" s="15">
        <v>0</v>
      </c>
      <c r="H36" s="21"/>
      <c r="I36" s="21">
        <v>0</v>
      </c>
      <c r="J36" s="25">
        <v>0</v>
      </c>
      <c r="K36" s="26">
        <v>0</v>
      </c>
    </row>
    <row r="37" spans="6:11" ht="13.5">
      <c r="F37" s="2" t="s">
        <v>57</v>
      </c>
      <c r="G37" s="17">
        <v>0</v>
      </c>
      <c r="H37" s="17"/>
      <c r="I37" s="17">
        <v>0</v>
      </c>
      <c r="J37" s="22">
        <v>0</v>
      </c>
      <c r="K37" s="27">
        <v>0</v>
      </c>
    </row>
    <row r="38" spans="6:11" ht="13.5">
      <c r="F38" s="2" t="s">
        <v>58</v>
      </c>
      <c r="G38" s="17">
        <v>0</v>
      </c>
      <c r="H38" s="17"/>
      <c r="I38" s="17">
        <v>0</v>
      </c>
      <c r="J38" s="22">
        <v>0</v>
      </c>
      <c r="K38" s="27">
        <v>0</v>
      </c>
    </row>
    <row r="39" spans="6:11" ht="13.5">
      <c r="F39" s="2" t="s">
        <v>59</v>
      </c>
      <c r="G39" s="17">
        <v>0</v>
      </c>
      <c r="H39" s="17"/>
      <c r="I39" s="17">
        <v>0</v>
      </c>
      <c r="J39" s="22">
        <v>0</v>
      </c>
      <c r="K39" s="27">
        <v>0</v>
      </c>
    </row>
    <row r="40" spans="6:11" ht="14.25" thickBot="1">
      <c r="F40" s="33" t="s">
        <v>60</v>
      </c>
      <c r="G40" s="34">
        <v>0</v>
      </c>
      <c r="H40" s="34"/>
      <c r="I40" s="34">
        <v>0</v>
      </c>
      <c r="J40" s="35">
        <v>0</v>
      </c>
      <c r="K40" s="36">
        <v>0</v>
      </c>
    </row>
    <row r="41" spans="6:11" ht="14.25" thickBot="1">
      <c r="F41" s="32" t="s">
        <v>35</v>
      </c>
      <c r="G41" s="32"/>
      <c r="H41" s="32"/>
      <c r="I41" s="32"/>
      <c r="J41" s="37"/>
      <c r="K41" s="123">
        <f>SUM(K36:K40)</f>
        <v>0</v>
      </c>
    </row>
  </sheetData>
  <sheetProtection/>
  <mergeCells count="3">
    <mergeCell ref="C12:D12"/>
    <mergeCell ref="F12:G12"/>
    <mergeCell ref="F35:G3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5" t="s">
        <v>0</v>
      </c>
      <c r="C1" s="136"/>
      <c r="D1" s="137"/>
      <c r="E1" s="118"/>
      <c r="F1" s="138" t="s">
        <v>0</v>
      </c>
      <c r="G1" s="139"/>
      <c r="H1" s="120"/>
    </row>
    <row r="2" spans="1:9" ht="25.5" customHeight="1">
      <c r="A2" s="121" t="s">
        <v>1</v>
      </c>
      <c r="B2" s="140">
        <v>3000000</v>
      </c>
      <c r="C2" s="140"/>
      <c r="D2" s="140"/>
      <c r="E2" s="62" t="s">
        <v>2</v>
      </c>
      <c r="F2" s="141">
        <v>41609</v>
      </c>
      <c r="G2" s="142"/>
      <c r="H2" s="44"/>
      <c r="I2" s="44"/>
    </row>
    <row r="3" spans="1:11" ht="27" customHeight="1">
      <c r="A3" s="45" t="s">
        <v>3</v>
      </c>
      <c r="B3" s="143">
        <f>SUM(B2+D17)</f>
        <v>3020000</v>
      </c>
      <c r="C3" s="143"/>
      <c r="D3" s="144"/>
      <c r="E3" s="46" t="s">
        <v>4</v>
      </c>
      <c r="F3" s="47">
        <v>0.02</v>
      </c>
      <c r="G3" s="48">
        <f>B3*F3</f>
        <v>60400</v>
      </c>
      <c r="H3" s="50" t="s">
        <v>5</v>
      </c>
      <c r="I3" s="51">
        <f>(B3-B2)</f>
        <v>20000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49"/>
      <c r="H6" s="44"/>
      <c r="I6" s="44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3">
        <v>42095</v>
      </c>
      <c r="B8" s="64">
        <v>20000</v>
      </c>
      <c r="C8" s="65"/>
      <c r="D8" s="83">
        <f aca="true" t="shared" si="0" ref="D8:D16">SUM(B8-C8)</f>
        <v>20000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4">
        <v>42125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3">
        <v>42156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4">
        <v>42186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3">
        <v>42217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4">
        <v>42248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3">
        <v>42278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4">
        <v>42309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42339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20000</v>
      </c>
      <c r="C17" s="87">
        <f t="shared" si="7"/>
        <v>0</v>
      </c>
      <c r="D17" s="88">
        <f t="shared" si="7"/>
        <v>20000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2"/>
      <c r="J18" s="94"/>
      <c r="K18" s="95" t="s">
        <v>20</v>
      </c>
      <c r="L18" s="95" t="s">
        <v>21</v>
      </c>
    </row>
    <row r="19" ht="13.5">
      <c r="A19" s="52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8" width="13.125" style="0" customWidth="1"/>
    <col min="9" max="9" width="11.25390625" style="0" customWidth="1"/>
    <col min="10" max="10" width="15.875" style="0" customWidth="1"/>
    <col min="11" max="11" width="10.00390625" style="0" customWidth="1"/>
    <col min="12" max="12" width="18.375" style="0" customWidth="1"/>
    <col min="13" max="13" width="9.00390625" style="0" customWidth="1"/>
    <col min="14" max="15" width="10.00390625" style="0" customWidth="1"/>
    <col min="16" max="16" width="17.50390625" style="0" customWidth="1"/>
    <col min="17" max="17" width="8.125" style="0" customWidth="1"/>
    <col min="18" max="18" width="8.625" style="0" customWidth="1"/>
    <col min="19" max="19" width="10.875" style="0" customWidth="1"/>
    <col min="20" max="20" width="8.375" style="0" customWidth="1"/>
    <col min="21" max="21" width="8.25390625" style="0" customWidth="1"/>
  </cols>
  <sheetData>
    <row r="1" spans="1:21" ht="14.25" thickBot="1">
      <c r="A1" s="39" t="s">
        <v>22</v>
      </c>
      <c r="B1" s="40" t="s">
        <v>79</v>
      </c>
      <c r="C1" s="40" t="s">
        <v>78</v>
      </c>
      <c r="D1" s="40" t="s">
        <v>23</v>
      </c>
      <c r="E1" s="40" t="s">
        <v>24</v>
      </c>
      <c r="F1" s="40" t="s">
        <v>25</v>
      </c>
      <c r="G1" s="40" t="s">
        <v>26</v>
      </c>
      <c r="H1" s="40" t="s">
        <v>80</v>
      </c>
      <c r="I1" s="40" t="s">
        <v>27</v>
      </c>
      <c r="J1" s="40" t="s">
        <v>28</v>
      </c>
      <c r="K1" s="40" t="s">
        <v>29</v>
      </c>
      <c r="L1" s="40" t="s">
        <v>30</v>
      </c>
      <c r="M1" s="40" t="s">
        <v>31</v>
      </c>
      <c r="N1" s="40" t="s">
        <v>32</v>
      </c>
      <c r="O1" s="124" t="s">
        <v>33</v>
      </c>
      <c r="P1" s="41" t="s">
        <v>34</v>
      </c>
      <c r="T1" t="s">
        <v>73</v>
      </c>
      <c r="U1" t="s">
        <v>73</v>
      </c>
    </row>
    <row r="2" spans="1:21" ht="13.5" customHeight="1">
      <c r="A2" t="s">
        <v>95</v>
      </c>
      <c r="B2">
        <f aca="true" t="shared" si="0" ref="B2:B9">IF(G2&gt;H2,1,-1)</f>
        <v>1</v>
      </c>
      <c r="C2">
        <f>INT(10/(G2-H2)*B2/T2)/10</f>
        <v>0.9</v>
      </c>
      <c r="D2" t="s">
        <v>97</v>
      </c>
      <c r="E2" t="s">
        <v>96</v>
      </c>
      <c r="F2" t="s">
        <v>100</v>
      </c>
      <c r="G2">
        <v>1.1287</v>
      </c>
      <c r="H2">
        <v>1.1172</v>
      </c>
      <c r="I2" t="s">
        <v>96</v>
      </c>
      <c r="J2" t="s">
        <v>121</v>
      </c>
      <c r="K2">
        <v>1.1342</v>
      </c>
      <c r="L2" t="str">
        <f aca="true" t="shared" si="1" ref="L2:L9">IF(K2=G2,"建値",IF(K2=H2,"ロスカット",IF(B2&gt;0,"ストップ切上げ","ストップ切下げ")))</f>
        <v>ストップ切上げ</v>
      </c>
      <c r="M2">
        <f aca="true" t="shared" si="2" ref="M2:M9">IF(P2&gt;0,1,IF(P2&lt;0,-1,0))</f>
        <v>1</v>
      </c>
      <c r="N2">
        <f>IF((K2-G2)*B2&gt;0,(K2-G2)*B2*10000,0)</f>
        <v>55.000000000000604</v>
      </c>
      <c r="O2">
        <f>IF((K2-G2)*B2&lt;0,(G2-K2)*B2*10000,0)</f>
        <v>0</v>
      </c>
      <c r="P2">
        <f>INT((K2-G2)*C2*B2*U2*10000)</f>
        <v>4729</v>
      </c>
      <c r="Q2">
        <f aca="true" t="shared" si="3" ref="Q2:Q9">IF(P2&gt;0,P2,0)</f>
        <v>4729</v>
      </c>
      <c r="R2">
        <f aca="true" t="shared" si="4" ref="R2:R9">IF(P2&lt;0,P2,0)</f>
        <v>0</v>
      </c>
      <c r="S2">
        <f>M2</f>
        <v>1</v>
      </c>
      <c r="T2">
        <v>95.26</v>
      </c>
      <c r="U2">
        <v>95.54</v>
      </c>
    </row>
    <row r="3" spans="1:19" ht="12" customHeight="1">
      <c r="A3" t="s">
        <v>73</v>
      </c>
      <c r="B3">
        <f t="shared" si="0"/>
        <v>-1</v>
      </c>
      <c r="C3">
        <f>INT(10/(G3-H3)*B3)/10</f>
        <v>1.1</v>
      </c>
      <c r="D3" t="s">
        <v>97</v>
      </c>
      <c r="E3" t="s">
        <v>96</v>
      </c>
      <c r="F3" t="s">
        <v>101</v>
      </c>
      <c r="G3">
        <v>119.66</v>
      </c>
      <c r="H3">
        <v>120.54</v>
      </c>
      <c r="I3" t="s">
        <v>96</v>
      </c>
      <c r="J3" t="s">
        <v>122</v>
      </c>
      <c r="K3">
        <v>119.66</v>
      </c>
      <c r="L3" t="str">
        <f t="shared" si="1"/>
        <v>建値</v>
      </c>
      <c r="M3">
        <f t="shared" si="2"/>
        <v>0</v>
      </c>
      <c r="N3">
        <f>IF((K3-G3)*B3&gt;0,(K3-G3)*B3*100,0)</f>
        <v>0</v>
      </c>
      <c r="O3">
        <f>IF((K3-G3)*B3&lt;0,(G3-K3)*B3*100,0)</f>
        <v>0</v>
      </c>
      <c r="P3">
        <f>(K3-G3)*C3*B3*10000</f>
        <v>0</v>
      </c>
      <c r="Q3">
        <f t="shared" si="3"/>
        <v>0</v>
      </c>
      <c r="R3">
        <f t="shared" si="4"/>
        <v>0</v>
      </c>
      <c r="S3">
        <f>IF(M3=S2,S2+M3,M3)</f>
        <v>0</v>
      </c>
    </row>
    <row r="4" spans="1:19" ht="12" customHeight="1">
      <c r="A4" t="s">
        <v>73</v>
      </c>
      <c r="B4">
        <f t="shared" si="0"/>
        <v>-1</v>
      </c>
      <c r="C4">
        <f>INT(10/(G4-H4)*B4)/10</f>
        <v>3.8</v>
      </c>
      <c r="D4" t="s">
        <v>81</v>
      </c>
      <c r="E4" t="s">
        <v>94</v>
      </c>
      <c r="F4" t="s">
        <v>98</v>
      </c>
      <c r="G4">
        <v>119.88</v>
      </c>
      <c r="H4">
        <v>120.14</v>
      </c>
      <c r="I4" t="s">
        <v>94</v>
      </c>
      <c r="J4" t="s">
        <v>103</v>
      </c>
      <c r="K4">
        <v>119.88</v>
      </c>
      <c r="L4" t="str">
        <f t="shared" si="1"/>
        <v>建値</v>
      </c>
      <c r="M4">
        <f t="shared" si="2"/>
        <v>0</v>
      </c>
      <c r="N4">
        <f>IF((K4-G4)*B4&gt;0,(K4-G4)*B4*100,0)</f>
        <v>0</v>
      </c>
      <c r="O4">
        <f>IF((K4-G4)*B4&lt;0,(G4-K4)*B4*100,0)</f>
        <v>0</v>
      </c>
      <c r="P4">
        <f>(K4-G4)*C4*B4*10000</f>
        <v>0</v>
      </c>
      <c r="Q4">
        <f t="shared" si="3"/>
        <v>0</v>
      </c>
      <c r="R4">
        <f t="shared" si="4"/>
        <v>0</v>
      </c>
      <c r="S4">
        <f>IF(M4=S2,S2+M4,M4)</f>
        <v>0</v>
      </c>
    </row>
    <row r="5" spans="1:19" ht="12" customHeight="1">
      <c r="A5" t="s">
        <v>73</v>
      </c>
      <c r="B5">
        <f t="shared" si="0"/>
        <v>-1</v>
      </c>
      <c r="C5">
        <f>INT(10/(G5-H5)*B5)/10</f>
        <v>3</v>
      </c>
      <c r="D5" t="s">
        <v>81</v>
      </c>
      <c r="E5" t="s">
        <v>77</v>
      </c>
      <c r="F5" t="s">
        <v>105</v>
      </c>
      <c r="G5">
        <v>119.81</v>
      </c>
      <c r="H5">
        <v>120.14</v>
      </c>
      <c r="I5" t="s">
        <v>77</v>
      </c>
      <c r="J5" t="s">
        <v>107</v>
      </c>
      <c r="K5">
        <v>120.14</v>
      </c>
      <c r="L5" t="str">
        <f t="shared" si="1"/>
        <v>ロスカット</v>
      </c>
      <c r="M5">
        <f t="shared" si="2"/>
        <v>-1</v>
      </c>
      <c r="N5">
        <f>IF((K5-G5)*B5&gt;0,(K5-G5)*B5*100,0)</f>
        <v>0</v>
      </c>
      <c r="O5">
        <f>IF((K5-G5)*B5&lt;0,(G5-K5)*B5*100,0)</f>
        <v>32.99999999999983</v>
      </c>
      <c r="P5">
        <f>(K5-G5)*C5*B5*10000</f>
        <v>-9899.999999999949</v>
      </c>
      <c r="Q5">
        <f t="shared" si="3"/>
        <v>0</v>
      </c>
      <c r="R5">
        <f t="shared" si="4"/>
        <v>-9899.999999999949</v>
      </c>
      <c r="S5">
        <f>IF(M5=S3,S3+M5,M5)</f>
        <v>-1</v>
      </c>
    </row>
    <row r="6" spans="1:21" ht="12.75" customHeight="1">
      <c r="A6" t="s">
        <v>95</v>
      </c>
      <c r="B6">
        <f t="shared" si="0"/>
        <v>1</v>
      </c>
      <c r="C6">
        <f>INT(10/(G6-H6)*B6/T6)/10</f>
        <v>1.1</v>
      </c>
      <c r="D6" t="s">
        <v>81</v>
      </c>
      <c r="E6" t="s">
        <v>77</v>
      </c>
      <c r="F6" t="s">
        <v>99</v>
      </c>
      <c r="G6">
        <v>1.1276</v>
      </c>
      <c r="H6">
        <v>1.1209</v>
      </c>
      <c r="I6" t="s">
        <v>77</v>
      </c>
      <c r="J6" t="s">
        <v>111</v>
      </c>
      <c r="K6">
        <v>1.1349</v>
      </c>
      <c r="L6" t="str">
        <f t="shared" si="1"/>
        <v>ストップ切上げ</v>
      </c>
      <c r="M6">
        <f t="shared" si="2"/>
        <v>1</v>
      </c>
      <c r="N6">
        <f>IF((K6-G6)*B6&gt;0,(K6-G6)*B6*10000,0)</f>
        <v>73.00000000000084</v>
      </c>
      <c r="O6">
        <f>IF((K6-G6)*B6&lt;0,(G6-K6)*B6*10000,0)</f>
        <v>0</v>
      </c>
      <c r="P6">
        <f>INT((K6-G6)*C6*B6*U6*10000)</f>
        <v>9934</v>
      </c>
      <c r="Q6">
        <f t="shared" si="3"/>
        <v>9934</v>
      </c>
      <c r="R6">
        <f t="shared" si="4"/>
        <v>0</v>
      </c>
      <c r="S6">
        <f>IF(M6=S1,S1+M6,M6)</f>
        <v>1</v>
      </c>
      <c r="T6">
        <v>124.43</v>
      </c>
      <c r="U6">
        <v>123.72</v>
      </c>
    </row>
    <row r="7" spans="1:21" ht="12.75" customHeight="1">
      <c r="A7" t="s">
        <v>95</v>
      </c>
      <c r="B7">
        <f t="shared" si="0"/>
        <v>1</v>
      </c>
      <c r="C7">
        <f>INT(10/(G7-H7)*B7/T7)/10</f>
        <v>3.3</v>
      </c>
      <c r="D7" t="s">
        <v>81</v>
      </c>
      <c r="E7" t="s">
        <v>94</v>
      </c>
      <c r="F7" t="s">
        <v>99</v>
      </c>
      <c r="G7">
        <v>1.1269</v>
      </c>
      <c r="H7">
        <v>1.1245</v>
      </c>
      <c r="I7" t="s">
        <v>94</v>
      </c>
      <c r="J7" t="s">
        <v>102</v>
      </c>
      <c r="K7">
        <v>1.1269</v>
      </c>
      <c r="L7" t="str">
        <f t="shared" si="1"/>
        <v>建値</v>
      </c>
      <c r="M7">
        <f t="shared" si="2"/>
        <v>0</v>
      </c>
      <c r="N7">
        <f>IF((K7-G7)*B7&gt;0,(K7-G7)*B7*10000,0)</f>
        <v>0</v>
      </c>
      <c r="O7">
        <f>IF((K7-G7)*B7&lt;0,(G7-K7)*B7*10000,0)</f>
        <v>0</v>
      </c>
      <c r="P7">
        <f>INT((K7-G7)*C7*B7*U7*10000)</f>
        <v>0</v>
      </c>
      <c r="Q7">
        <f t="shared" si="3"/>
        <v>0</v>
      </c>
      <c r="R7">
        <f t="shared" si="4"/>
        <v>0</v>
      </c>
      <c r="S7">
        <f>IF(M7=S1,S1+M7,M7)</f>
        <v>0</v>
      </c>
      <c r="T7">
        <v>124.43</v>
      </c>
      <c r="U7">
        <v>123.72</v>
      </c>
    </row>
    <row r="8" spans="1:21" ht="12.75" customHeight="1">
      <c r="A8" t="s">
        <v>95</v>
      </c>
      <c r="B8">
        <f t="shared" si="0"/>
        <v>1</v>
      </c>
      <c r="C8">
        <f>INT(10/(G8-H8)*B8/T8)/10</f>
        <v>2</v>
      </c>
      <c r="D8" t="s">
        <v>81</v>
      </c>
      <c r="E8" t="s">
        <v>94</v>
      </c>
      <c r="F8" t="s">
        <v>104</v>
      </c>
      <c r="G8">
        <v>1.1281</v>
      </c>
      <c r="H8">
        <v>1.1242</v>
      </c>
      <c r="I8" t="s">
        <v>94</v>
      </c>
      <c r="J8" t="s">
        <v>106</v>
      </c>
      <c r="K8">
        <v>1.1281</v>
      </c>
      <c r="L8" t="str">
        <f t="shared" si="1"/>
        <v>建値</v>
      </c>
      <c r="M8">
        <f t="shared" si="2"/>
        <v>0</v>
      </c>
      <c r="N8">
        <f>IF((K8-G8)*B8&gt;0,(K8-G8)*B8*10000,0)</f>
        <v>0</v>
      </c>
      <c r="O8">
        <f>IF((K8-G8)*B8&lt;0,(G8-K8)*B8*10000,0)</f>
        <v>0</v>
      </c>
      <c r="P8">
        <f>INT((K8-G8)*C8*B8*U8*10000)</f>
        <v>0</v>
      </c>
      <c r="Q8">
        <f t="shared" si="3"/>
        <v>0</v>
      </c>
      <c r="R8">
        <f t="shared" si="4"/>
        <v>0</v>
      </c>
      <c r="S8">
        <f>IF(M8=S1,S1+M8,M8)</f>
        <v>0</v>
      </c>
      <c r="T8">
        <v>124.43</v>
      </c>
      <c r="U8">
        <v>123.72</v>
      </c>
    </row>
    <row r="9" spans="1:19" ht="12" customHeight="1">
      <c r="A9" t="s">
        <v>73</v>
      </c>
      <c r="B9">
        <f t="shared" si="0"/>
        <v>1</v>
      </c>
      <c r="C9">
        <f>INT(10/(G9-H9)*B9)/10</f>
        <v>4.7</v>
      </c>
      <c r="D9" t="s">
        <v>81</v>
      </c>
      <c r="E9" t="s">
        <v>94</v>
      </c>
      <c r="F9" t="s">
        <v>114</v>
      </c>
      <c r="G9">
        <v>120.02</v>
      </c>
      <c r="H9">
        <v>119.81</v>
      </c>
      <c r="I9" t="s">
        <v>94</v>
      </c>
      <c r="J9" t="s">
        <v>109</v>
      </c>
      <c r="K9">
        <v>120.02</v>
      </c>
      <c r="L9" t="str">
        <f t="shared" si="1"/>
        <v>建値</v>
      </c>
      <c r="M9">
        <f t="shared" si="2"/>
        <v>0</v>
      </c>
      <c r="N9">
        <f>IF((K9-G9)*B9&gt;0,(K9-G9)*B9*100,0)</f>
        <v>0</v>
      </c>
      <c r="O9">
        <f>IF((K9-G9)*B9&lt;0,(G9-K9)*B9*100,0)</f>
        <v>0</v>
      </c>
      <c r="P9">
        <f>(K9-G9)*C9*B9*10000</f>
        <v>0</v>
      </c>
      <c r="Q9">
        <f t="shared" si="3"/>
        <v>0</v>
      </c>
      <c r="R9">
        <f t="shared" si="4"/>
        <v>0</v>
      </c>
      <c r="S9">
        <f>IF(M9=S7,S7+M9,M9)</f>
        <v>0</v>
      </c>
    </row>
    <row r="10" spans="1:21" ht="12.75" customHeight="1">
      <c r="A10" t="s">
        <v>95</v>
      </c>
      <c r="B10">
        <f>IF(G10&gt;H10,1,-1)</f>
        <v>1</v>
      </c>
      <c r="C10">
        <f>INT(10/(G10-H10)*B10/T10)/10</f>
        <v>2.7</v>
      </c>
      <c r="D10" t="s">
        <v>81</v>
      </c>
      <c r="E10" t="s">
        <v>94</v>
      </c>
      <c r="F10" t="s">
        <v>108</v>
      </c>
      <c r="G10">
        <v>1.1387</v>
      </c>
      <c r="H10">
        <v>1.1358</v>
      </c>
      <c r="I10" t="s">
        <v>94</v>
      </c>
      <c r="J10" t="s">
        <v>110</v>
      </c>
      <c r="K10">
        <v>1.1358</v>
      </c>
      <c r="L10" t="str">
        <f>IF(K10=G10,"建値",IF(K10=H10,"ロスカット",IF(B10&gt;0,"ストップ切上げ","ストップ切下げ")))</f>
        <v>ロスカット</v>
      </c>
      <c r="M10">
        <f>IF(P10&gt;0,1,IF(P10&lt;0,-1,0))</f>
        <v>-1</v>
      </c>
      <c r="N10">
        <f>IF((K10-G10)*B10&gt;0,(K10-G10)*B10*10000,0)</f>
        <v>0</v>
      </c>
      <c r="O10">
        <f>IF((K10-G10)*B10&lt;0,(G10-K10)*B10*10000,0)</f>
        <v>29.000000000001247</v>
      </c>
      <c r="P10">
        <f>INT((K10-G10)*C10*B10*U10*10000)</f>
        <v>-9688</v>
      </c>
      <c r="Q10">
        <f>IF(P10&gt;0,P10,0)</f>
        <v>0</v>
      </c>
      <c r="R10">
        <f>IF(P10&lt;0,P10,0)</f>
        <v>-9688</v>
      </c>
      <c r="S10">
        <f>IF(M10=S3,S3+M10,M10)</f>
        <v>-1</v>
      </c>
      <c r="T10">
        <v>124.43</v>
      </c>
      <c r="U10">
        <v>123.72</v>
      </c>
    </row>
    <row r="11" spans="1:19" ht="12" customHeight="1">
      <c r="A11" t="s">
        <v>73</v>
      </c>
      <c r="B11">
        <f>IF(G11&gt;H11,1,-1)</f>
        <v>-1</v>
      </c>
      <c r="C11">
        <f>INT(10/(G11-H11)*B11)/10</f>
        <v>3.4</v>
      </c>
      <c r="D11" t="s">
        <v>115</v>
      </c>
      <c r="E11" t="s">
        <v>77</v>
      </c>
      <c r="F11" t="s">
        <v>113</v>
      </c>
      <c r="G11">
        <v>119.79</v>
      </c>
      <c r="H11">
        <v>120.08</v>
      </c>
      <c r="I11" t="s">
        <v>77</v>
      </c>
      <c r="J11" t="s">
        <v>123</v>
      </c>
      <c r="K11">
        <v>119.2</v>
      </c>
      <c r="L11" t="str">
        <f>IF(K11=G11,"建値",IF(K11=H11,"ロスカット",IF(B11&gt;0,"ストップ切上げ","ストップ切下げ")))</f>
        <v>ストップ切下げ</v>
      </c>
      <c r="M11">
        <f>IF(P11&gt;0,1,IF(P11&lt;0,-1,0))</f>
        <v>1</v>
      </c>
      <c r="N11">
        <f>IF((K11-G11)*B11&gt;0,(K11-G11)*B11*100,0)</f>
        <v>59.00000000000034</v>
      </c>
      <c r="O11">
        <f>IF((K11-G11)*B11&lt;0,(G11-K11)*B11*100,0)</f>
        <v>0</v>
      </c>
      <c r="P11">
        <f>(K11-G11)*C11*B11*10000</f>
        <v>20060.000000000113</v>
      </c>
      <c r="Q11">
        <f>IF(P11&gt;0,P11,0)</f>
        <v>20060.000000000113</v>
      </c>
      <c r="R11">
        <f>IF(P11&lt;0,P11,0)</f>
        <v>0</v>
      </c>
      <c r="S11">
        <f>IF(M11=S9,S9+M11,M11)</f>
        <v>1</v>
      </c>
    </row>
    <row r="12" spans="1:21" ht="12.75" customHeight="1">
      <c r="A12" t="s">
        <v>95</v>
      </c>
      <c r="B12">
        <f>IF(G12&gt;H12,1,-1)</f>
        <v>1</v>
      </c>
      <c r="C12">
        <f>INT(10/(G12-H12)*B12/T12)/10</f>
        <v>4.7</v>
      </c>
      <c r="D12" t="s">
        <v>97</v>
      </c>
      <c r="E12" t="s">
        <v>94</v>
      </c>
      <c r="F12" t="s">
        <v>112</v>
      </c>
      <c r="G12">
        <v>1.1373</v>
      </c>
      <c r="H12">
        <v>1.1356</v>
      </c>
      <c r="I12" t="s">
        <v>94</v>
      </c>
      <c r="J12" t="s">
        <v>116</v>
      </c>
      <c r="K12">
        <v>1.1356</v>
      </c>
      <c r="L12" t="str">
        <f>IF(K12=G12,"建値",IF(K12=H12,"ロスカット",IF(B12&gt;0,"ストップ切上げ","ストップ切下げ")))</f>
        <v>ロスカット</v>
      </c>
      <c r="M12">
        <f>IF(P12&gt;0,1,IF(P12&lt;0,-1,0))</f>
        <v>-1</v>
      </c>
      <c r="N12">
        <f>IF((K12-G12)*B12&gt;0,(K12-G12)*B12*10000,0)</f>
        <v>0</v>
      </c>
      <c r="O12">
        <f>IF((K12-G12)*B12&lt;0,(G12-K12)*B12*10000,0)</f>
        <v>17.000000000000348</v>
      </c>
      <c r="P12">
        <f>INT((K12-G12)*C12*B12*U12*10000)</f>
        <v>-9886</v>
      </c>
      <c r="Q12">
        <f>IF(P12&gt;0,P12,0)</f>
        <v>0</v>
      </c>
      <c r="R12">
        <f>IF(P12&lt;0,P12,0)</f>
        <v>-9886</v>
      </c>
      <c r="S12">
        <f>IF(M12=S7,S7+M12,M12)</f>
        <v>-1</v>
      </c>
      <c r="T12">
        <v>124.43</v>
      </c>
      <c r="U12">
        <v>123.72</v>
      </c>
    </row>
    <row r="13" spans="1:21" ht="12.75" customHeight="1">
      <c r="A13" t="s">
        <v>95</v>
      </c>
      <c r="B13">
        <f>IF(G13&gt;H13,1,-1)</f>
        <v>1</v>
      </c>
      <c r="C13">
        <f>INT(10/(G13-H13)*B13/T13)/10</f>
        <v>4</v>
      </c>
      <c r="D13" t="s">
        <v>97</v>
      </c>
      <c r="E13" t="s">
        <v>94</v>
      </c>
      <c r="F13" t="s">
        <v>117</v>
      </c>
      <c r="G13">
        <v>1.1399</v>
      </c>
      <c r="H13">
        <v>1.1379</v>
      </c>
      <c r="I13" t="s">
        <v>94</v>
      </c>
      <c r="J13" t="s">
        <v>120</v>
      </c>
      <c r="K13">
        <v>1.1459</v>
      </c>
      <c r="L13" t="str">
        <f>IF(K13=G13,"建値",IF(K13=H13,"ロスカット",IF(B13&gt;0,"ストップ切上げ","ストップ切下げ")))</f>
        <v>ストップ切上げ</v>
      </c>
      <c r="M13">
        <f>IF(P13&gt;0,1,IF(P13&lt;0,-1,0))</f>
        <v>1</v>
      </c>
      <c r="N13">
        <f>IF((K13-G13)*B13&gt;0,(K13-G13)*B13*10000,0)</f>
        <v>60.00000000000006</v>
      </c>
      <c r="O13">
        <f>IF((K13-G13)*B13&lt;0,(G13-K13)*B13*10000,0)</f>
        <v>0</v>
      </c>
      <c r="P13">
        <f>INT((K13-G13)*C13*B13*U13*10000)</f>
        <v>29692</v>
      </c>
      <c r="Q13">
        <f>IF(P13&gt;0,P13,0)</f>
        <v>29692</v>
      </c>
      <c r="R13">
        <f>IF(P13&lt;0,P13,0)</f>
        <v>0</v>
      </c>
      <c r="S13">
        <f>IF(M13=S6,S6+M13,M13)</f>
        <v>2</v>
      </c>
      <c r="T13">
        <v>124.43</v>
      </c>
      <c r="U13">
        <v>123.72</v>
      </c>
    </row>
    <row r="14" spans="1:19" ht="12" customHeight="1">
      <c r="A14" t="s">
        <v>73</v>
      </c>
      <c r="B14">
        <f>IF(G14&gt;H14,1,-1)</f>
        <v>-1</v>
      </c>
      <c r="C14">
        <f>INT(10/(G14-H14)*B14)/10</f>
        <v>3.8</v>
      </c>
      <c r="D14" t="s">
        <v>81</v>
      </c>
      <c r="E14" t="s">
        <v>94</v>
      </c>
      <c r="F14" t="s">
        <v>118</v>
      </c>
      <c r="G14">
        <v>119.47</v>
      </c>
      <c r="H14">
        <v>119.73</v>
      </c>
      <c r="I14" t="s">
        <v>94</v>
      </c>
      <c r="J14" t="s">
        <v>119</v>
      </c>
      <c r="K14">
        <v>118.51</v>
      </c>
      <c r="L14" t="str">
        <f>IF(K14=G14,"建値",IF(K14=H14,"ロスカット",IF(B14&gt;0,"ストップ切上げ","ストップ切下げ")))</f>
        <v>ストップ切下げ</v>
      </c>
      <c r="M14">
        <f>IF(P14&gt;0,1,IF(P14&lt;0,-1,0))</f>
        <v>1</v>
      </c>
      <c r="N14">
        <f>IF((K14-G14)*B14&gt;0,(K14-G14)*B14*100,0)</f>
        <v>95.99999999999937</v>
      </c>
      <c r="O14">
        <f>IF((K14-G14)*B14&lt;0,(G14-K14)*B14*100,0)</f>
        <v>0</v>
      </c>
      <c r="P14">
        <f>(K14-G14)*C14*B14*10000</f>
        <v>36479.99999999976</v>
      </c>
      <c r="Q14">
        <f>IF(P14&gt;0,P14,0)</f>
        <v>36479.99999999976</v>
      </c>
      <c r="R14">
        <f>IF(P14&lt;0,P14,0)</f>
        <v>0</v>
      </c>
      <c r="S14">
        <f>IF(M14=S12,S12+M14,M14)</f>
        <v>1</v>
      </c>
    </row>
    <row r="15" spans="14:15" ht="13.5">
      <c r="N15" s="10"/>
      <c r="O15" s="10"/>
    </row>
    <row r="16" spans="1:18" ht="14.25" customHeight="1">
      <c r="A16" t="s">
        <v>84</v>
      </c>
      <c r="B16">
        <f>SUM(B2:B15)</f>
        <v>3</v>
      </c>
      <c r="L16" t="s">
        <v>87</v>
      </c>
      <c r="M16" s="42">
        <f>SUM(M2:M15)</f>
        <v>2</v>
      </c>
      <c r="N16" s="10">
        <f>INT(SUM(N2:N15))</f>
        <v>343</v>
      </c>
      <c r="O16" s="10">
        <f>INT(SUM(O2:O15))</f>
        <v>79</v>
      </c>
      <c r="P16">
        <f>SUM(P2:P15)</f>
        <v>71420.99999999991</v>
      </c>
      <c r="Q16">
        <f>SUM(Q2:Q15)</f>
        <v>100894.99999999988</v>
      </c>
      <c r="R16">
        <f>SUM(R2:R15)</f>
        <v>-29473.99999999995</v>
      </c>
    </row>
    <row r="17" spans="1:15" ht="1.5" customHeight="1" hidden="1">
      <c r="A17" t="s">
        <v>85</v>
      </c>
      <c r="B17">
        <f>SUMSQ(B2:B15)</f>
        <v>13</v>
      </c>
      <c r="L17" t="s">
        <v>88</v>
      </c>
      <c r="M17">
        <f>SUMSQ(M2:M15)</f>
        <v>8</v>
      </c>
      <c r="N17" s="10"/>
      <c r="O17" s="10"/>
    </row>
    <row r="18" spans="1:15" ht="17.25" customHeight="1" hidden="1">
      <c r="A18" t="s">
        <v>86</v>
      </c>
      <c r="B18">
        <f>(B16+B17)/2</f>
        <v>8</v>
      </c>
      <c r="L18" t="s">
        <v>89</v>
      </c>
      <c r="M18">
        <f>(M17+M16)/2</f>
        <v>5</v>
      </c>
      <c r="N18" s="10"/>
      <c r="O18" s="10"/>
    </row>
    <row r="19" spans="1:13" ht="15.75" customHeight="1" hidden="1">
      <c r="A19" t="s">
        <v>74</v>
      </c>
      <c r="B19">
        <f>(B17-B16)/2</f>
        <v>5</v>
      </c>
      <c r="L19" t="s">
        <v>75</v>
      </c>
      <c r="M19">
        <f>(M17-M16)/2</f>
        <v>3</v>
      </c>
    </row>
    <row r="20" spans="12:15" ht="0.75" customHeight="1">
      <c r="L20" t="s">
        <v>76</v>
      </c>
      <c r="M20" s="11">
        <f>B17-M17</f>
        <v>5</v>
      </c>
      <c r="N20" s="12"/>
      <c r="O20" s="12"/>
    </row>
    <row r="22" ht="13.5" customHeight="1" thickBot="1"/>
    <row r="23" spans="3:10" ht="14.25" thickBot="1">
      <c r="C23" s="131" t="s">
        <v>36</v>
      </c>
      <c r="D23" s="132"/>
      <c r="F23" s="133" t="s">
        <v>37</v>
      </c>
      <c r="G23" s="134"/>
      <c r="H23" s="28"/>
      <c r="I23" s="28" t="s">
        <v>38</v>
      </c>
      <c r="J23" s="31" t="s">
        <v>39</v>
      </c>
    </row>
    <row r="24" spans="3:10" ht="13.5">
      <c r="C24" s="5" t="s">
        <v>40</v>
      </c>
      <c r="D24" s="6" t="str">
        <f>F2&amp;"～"&amp;F14</f>
        <v>2015.10.08 03:00 .～2015.10.14 04:00</v>
      </c>
      <c r="F24" s="5"/>
      <c r="G24" s="15"/>
      <c r="H24" s="21"/>
      <c r="I24" s="21"/>
      <c r="J24" s="24"/>
    </row>
    <row r="25" spans="3:10" ht="13.5">
      <c r="C25" s="2" t="s">
        <v>41</v>
      </c>
      <c r="D25" s="1">
        <f>B18</f>
        <v>8</v>
      </c>
      <c r="F25" s="2"/>
      <c r="G25" s="17"/>
      <c r="H25" s="22"/>
      <c r="I25" s="22"/>
      <c r="J25" s="18"/>
    </row>
    <row r="26" spans="3:10" ht="13.5">
      <c r="C26" s="2" t="s">
        <v>42</v>
      </c>
      <c r="D26" s="1">
        <f>B19</f>
        <v>5</v>
      </c>
      <c r="F26" s="2"/>
      <c r="G26" s="17"/>
      <c r="H26" s="22"/>
      <c r="I26" s="22"/>
      <c r="J26" s="18"/>
    </row>
    <row r="27" spans="3:10" ht="13.5">
      <c r="C27" s="2" t="s">
        <v>43</v>
      </c>
      <c r="D27" s="1">
        <f>B17</f>
        <v>13</v>
      </c>
      <c r="F27" s="2"/>
      <c r="G27" s="17"/>
      <c r="H27" s="22"/>
      <c r="I27" s="22"/>
      <c r="J27" s="18"/>
    </row>
    <row r="28" spans="3:10" ht="13.5">
      <c r="C28" s="2" t="s">
        <v>44</v>
      </c>
      <c r="D28" s="1">
        <f>M18</f>
        <v>5</v>
      </c>
      <c r="F28" s="2"/>
      <c r="G28" s="17"/>
      <c r="H28" s="22"/>
      <c r="I28" s="22"/>
      <c r="J28" s="18"/>
    </row>
    <row r="29" spans="3:10" ht="13.5">
      <c r="C29" s="2" t="s">
        <v>45</v>
      </c>
      <c r="D29" s="4">
        <f>M19</f>
        <v>3</v>
      </c>
      <c r="F29" s="2"/>
      <c r="G29" s="17"/>
      <c r="H29" s="22"/>
      <c r="I29" s="22"/>
      <c r="J29" s="18"/>
    </row>
    <row r="30" spans="3:10" ht="13.5">
      <c r="C30" s="2" t="s">
        <v>46</v>
      </c>
      <c r="D30" s="1">
        <f>M20</f>
        <v>5</v>
      </c>
      <c r="F30" s="2"/>
      <c r="G30" s="17"/>
      <c r="H30" s="22"/>
      <c r="I30" s="22"/>
      <c r="J30" s="18"/>
    </row>
    <row r="31" spans="3:10" ht="13.5">
      <c r="C31" s="8" t="s">
        <v>47</v>
      </c>
      <c r="D31" s="9">
        <v>0</v>
      </c>
      <c r="F31" s="2"/>
      <c r="G31" s="17"/>
      <c r="H31" s="22"/>
      <c r="I31" s="22"/>
      <c r="J31" s="18"/>
    </row>
    <row r="32" spans="3:10" ht="13.5">
      <c r="C32" s="2" t="s">
        <v>48</v>
      </c>
      <c r="D32" s="1">
        <f>Q16</f>
        <v>100894.99999999988</v>
      </c>
      <c r="F32" s="2"/>
      <c r="G32" s="17"/>
      <c r="H32" s="22"/>
      <c r="I32" s="22"/>
      <c r="J32" s="18"/>
    </row>
    <row r="33" spans="3:10" ht="13.5">
      <c r="C33" s="2" t="s">
        <v>49</v>
      </c>
      <c r="D33" s="4">
        <f>R16</f>
        <v>-29473.99999999995</v>
      </c>
      <c r="F33" s="2"/>
      <c r="G33" s="17"/>
      <c r="H33" s="22"/>
      <c r="I33" s="22"/>
      <c r="J33" s="18"/>
    </row>
    <row r="34" spans="3:10" ht="13.5">
      <c r="C34" s="2" t="s">
        <v>50</v>
      </c>
      <c r="D34" s="1">
        <f>P16</f>
        <v>71420.99999999991</v>
      </c>
      <c r="F34" s="5"/>
      <c r="G34" s="15"/>
      <c r="H34" s="21"/>
      <c r="I34" s="21"/>
      <c r="J34" s="16"/>
    </row>
    <row r="35" spans="3:10" ht="13.5">
      <c r="C35" s="2" t="s">
        <v>15</v>
      </c>
      <c r="D35" s="13">
        <f>D32/D28</f>
        <v>20178.999999999978</v>
      </c>
      <c r="F35" s="2"/>
      <c r="G35" s="17"/>
      <c r="H35" s="22"/>
      <c r="I35" s="22"/>
      <c r="J35" s="18"/>
    </row>
    <row r="36" spans="3:10" ht="13.5">
      <c r="C36" s="2" t="s">
        <v>16</v>
      </c>
      <c r="D36" s="13">
        <f>D33/D29</f>
        <v>-9824.66666666665</v>
      </c>
      <c r="F36" s="2"/>
      <c r="G36" s="17"/>
      <c r="H36" s="22"/>
      <c r="I36" s="22"/>
      <c r="J36" s="18"/>
    </row>
    <row r="37" spans="3:10" ht="13.5">
      <c r="C37" s="2" t="s">
        <v>51</v>
      </c>
      <c r="D37" s="1">
        <f>MAX(S2:S15)</f>
        <v>2</v>
      </c>
      <c r="F37" s="2"/>
      <c r="G37" s="17"/>
      <c r="H37" s="22"/>
      <c r="I37" s="22"/>
      <c r="J37" s="18"/>
    </row>
    <row r="38" spans="3:10" ht="13.5">
      <c r="C38" s="2" t="s">
        <v>52</v>
      </c>
      <c r="D38" s="1">
        <f>-MIN(S2:S15)</f>
        <v>1</v>
      </c>
      <c r="F38" s="2"/>
      <c r="G38" s="17"/>
      <c r="H38" s="22"/>
      <c r="I38" s="22"/>
      <c r="J38" s="18"/>
    </row>
    <row r="39" spans="3:10" ht="13.5">
      <c r="C39" s="2" t="s">
        <v>53</v>
      </c>
      <c r="D39" s="14">
        <f>MAX(N2:N15)</f>
        <v>95.99999999999937</v>
      </c>
      <c r="F39" s="2"/>
      <c r="G39" s="17"/>
      <c r="H39" s="22"/>
      <c r="I39" s="22"/>
      <c r="J39" s="18"/>
    </row>
    <row r="40" spans="3:10" ht="14.25" thickBot="1">
      <c r="C40" s="3" t="s">
        <v>14</v>
      </c>
      <c r="D40" s="7">
        <f>D28/(D28+D29)</f>
        <v>0.625</v>
      </c>
      <c r="F40" s="2"/>
      <c r="G40" s="17"/>
      <c r="H40" s="22"/>
      <c r="I40" s="22"/>
      <c r="J40" s="18"/>
    </row>
    <row r="41" spans="3:10" ht="13.5">
      <c r="C41" s="8" t="s">
        <v>92</v>
      </c>
      <c r="D41">
        <f>(INT(-100*D35/D36))/100</f>
        <v>2.05</v>
      </c>
      <c r="F41" s="2"/>
      <c r="G41" s="17"/>
      <c r="H41" s="22"/>
      <c r="I41" s="22"/>
      <c r="J41" s="18"/>
    </row>
    <row r="42" spans="6:10" ht="14.25" thickBot="1">
      <c r="F42" s="3"/>
      <c r="G42" s="19"/>
      <c r="H42" s="23"/>
      <c r="I42" s="23"/>
      <c r="J42" s="20"/>
    </row>
    <row r="43" spans="6:10" ht="14.25" thickBot="1">
      <c r="F43" s="38" t="s">
        <v>35</v>
      </c>
      <c r="G43" s="43">
        <f>SUM(G24:G42)</f>
        <v>0</v>
      </c>
      <c r="H43" s="43"/>
      <c r="I43" s="43">
        <f>SUM(I24:I42)</f>
        <v>0</v>
      </c>
      <c r="J43" s="43">
        <f>SUM(J24:J42)</f>
        <v>0</v>
      </c>
    </row>
    <row r="46" spans="6:11" ht="14.25" thickBot="1">
      <c r="F46" s="133" t="s">
        <v>54</v>
      </c>
      <c r="G46" s="134"/>
      <c r="H46" s="28"/>
      <c r="I46" s="28" t="s">
        <v>38</v>
      </c>
      <c r="J46" s="29" t="s">
        <v>39</v>
      </c>
      <c r="K46" s="30" t="s">
        <v>55</v>
      </c>
    </row>
    <row r="47" spans="6:11" ht="13.5">
      <c r="F47" s="5" t="s">
        <v>56</v>
      </c>
      <c r="G47" s="15">
        <v>0</v>
      </c>
      <c r="H47" s="21"/>
      <c r="I47" s="21">
        <v>0</v>
      </c>
      <c r="J47" s="25">
        <v>0</v>
      </c>
      <c r="K47" s="26">
        <v>0</v>
      </c>
    </row>
    <row r="48" spans="6:11" ht="13.5">
      <c r="F48" s="2" t="s">
        <v>57</v>
      </c>
      <c r="G48" s="17">
        <v>0</v>
      </c>
      <c r="H48" s="17"/>
      <c r="I48" s="17">
        <v>0</v>
      </c>
      <c r="J48" s="22">
        <v>0</v>
      </c>
      <c r="K48" s="27">
        <v>0</v>
      </c>
    </row>
    <row r="49" spans="6:11" ht="13.5">
      <c r="F49" s="2" t="s">
        <v>58</v>
      </c>
      <c r="G49" s="17">
        <v>0</v>
      </c>
      <c r="H49" s="17"/>
      <c r="I49" s="17">
        <v>0</v>
      </c>
      <c r="J49" s="22">
        <v>0</v>
      </c>
      <c r="K49" s="27">
        <v>0</v>
      </c>
    </row>
    <row r="50" spans="6:11" ht="13.5">
      <c r="F50" s="2" t="s">
        <v>59</v>
      </c>
      <c r="G50" s="17">
        <v>0</v>
      </c>
      <c r="H50" s="17"/>
      <c r="I50" s="17">
        <v>0</v>
      </c>
      <c r="J50" s="22">
        <v>0</v>
      </c>
      <c r="K50" s="27">
        <v>0</v>
      </c>
    </row>
    <row r="51" spans="6:11" ht="14.25" thickBot="1">
      <c r="F51" s="33" t="s">
        <v>60</v>
      </c>
      <c r="G51" s="34">
        <v>0</v>
      </c>
      <c r="H51" s="34"/>
      <c r="I51" s="34">
        <v>0</v>
      </c>
      <c r="J51" s="35">
        <v>0</v>
      </c>
      <c r="K51" s="36">
        <v>0</v>
      </c>
    </row>
    <row r="52" spans="6:11" ht="14.25" thickBot="1">
      <c r="F52" s="32" t="s">
        <v>35</v>
      </c>
      <c r="G52" s="32"/>
      <c r="H52" s="32"/>
      <c r="I52" s="32"/>
      <c r="J52" s="37"/>
      <c r="K52" s="123">
        <f>SUM(K47:K51)</f>
        <v>0</v>
      </c>
    </row>
  </sheetData>
  <sheetProtection/>
  <mergeCells count="3">
    <mergeCell ref="C23:D23"/>
    <mergeCell ref="F23:G23"/>
    <mergeCell ref="F46:G4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6" sqref="B6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B4" sqref="B4"/>
    </sheetView>
  </sheetViews>
  <sheetFormatPr defaultColWidth="8.875" defaultRowHeight="13.5"/>
  <sheetData>
    <row r="1" spans="1:9" ht="13.5">
      <c r="A1" s="126" t="s">
        <v>61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62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4" ht="13.5">
      <c r="A4" t="s">
        <v>93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D4" sqref="D4"/>
    </sheetView>
  </sheetViews>
  <sheetFormatPr defaultColWidth="8.875" defaultRowHeight="13.5"/>
  <sheetData>
    <row r="4" spans="2:5" ht="13.5">
      <c r="B4" t="s">
        <v>63</v>
      </c>
      <c r="C4" t="s">
        <v>64</v>
      </c>
      <c r="D4" t="s">
        <v>65</v>
      </c>
      <c r="E4" t="s">
        <v>66</v>
      </c>
    </row>
    <row r="5" spans="3:5" ht="13.5">
      <c r="C5" t="s">
        <v>67</v>
      </c>
      <c r="D5" t="s">
        <v>65</v>
      </c>
      <c r="E5" t="s">
        <v>66</v>
      </c>
    </row>
    <row r="9" spans="2:5" ht="13.5">
      <c r="B9" t="s">
        <v>68</v>
      </c>
      <c r="D9" t="s">
        <v>64</v>
      </c>
      <c r="E9" t="s">
        <v>69</v>
      </c>
    </row>
    <row r="10" spans="4:5" ht="13.5">
      <c r="D10" t="s">
        <v>70</v>
      </c>
      <c r="E10" t="s">
        <v>69</v>
      </c>
    </row>
    <row r="13" spans="2:5" ht="13.5">
      <c r="B13" t="s">
        <v>71</v>
      </c>
      <c r="E13" t="s">
        <v>64</v>
      </c>
    </row>
    <row r="14" ht="13.5">
      <c r="E14" t="s">
        <v>72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Suda</cp:lastModifiedBy>
  <cp:lastPrinted>1899-12-30T00:00:00Z</cp:lastPrinted>
  <dcterms:created xsi:type="dcterms:W3CDTF">2013-10-09T23:04:08Z</dcterms:created>
  <dcterms:modified xsi:type="dcterms:W3CDTF">2015-10-16T12:21:15Z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