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55" activeTab="2"/>
  </bookViews>
  <sheets>
    <sheet name="検証データ雛形" sheetId="1" r:id="rId1"/>
    <sheet name="ルール＆合計" sheetId="2" r:id="rId2"/>
    <sheet name="デモトレ2015.10.08～" sheetId="3" r:id="rId3"/>
    <sheet name="画像" sheetId="4" r:id="rId4"/>
    <sheet name="気づき" sheetId="5" r:id="rId5"/>
    <sheet name="検証終了通貨" sheetId="6" r:id="rId6"/>
  </sheets>
  <definedNames/>
  <calcPr fullCalcOnLoad="1"/>
</workbook>
</file>

<file path=xl/sharedStrings.xml><?xml version="1.0" encoding="utf-8"?>
<sst xmlns="http://schemas.openxmlformats.org/spreadsheetml/2006/main" count="325" uniqueCount="145">
  <si>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</si>
  <si>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</si>
  <si>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</si>
  <si>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</si>
  <si>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</si>
  <si>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</si>
  <si>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</si>
  <si>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</si>
  <si>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</si>
  <si>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</si>
  <si>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</si>
  <si>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</si>
  <si>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</si>
  <si>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</si>
  <si>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</si>
  <si>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</si>
  <si>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</si>
  <si>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</si>
  <si>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</si>
  <si>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</si>
  <si>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</si>
  <si>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</si>
  <si>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</si>
  <si>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</si>
  <si>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</si>
  <si>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</si>
  <si>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</si>
  <si>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</si>
  <si>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</si>
  <si>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</si>
  <si>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</si>
  <si>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</si>
  <si>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</si>
  <si>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</si>
  <si>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</si>
  <si>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</si>
  <si>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</si>
  <si>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</si>
  <si>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</si>
  <si>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</si>
  <si>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</si>
  <si>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</si>
  <si>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</si>
  <si>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</si>
  <si>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</si>
  <si>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</si>
  <si>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</si>
  <si>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</si>
  <si>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</si>
  <si>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</si>
  <si>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</si>
  <si>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</si>
  <si>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</si>
  <si>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</si>
  <si>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</si>
  <si>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</si>
  <si>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</si>
  <si>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</si>
  <si>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</si>
  <si>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</si>
  <si>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</si>
  <si>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</si>
  <si>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</si>
  <si>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</si>
  <si>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</si>
  <si>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</si>
  <si>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</si>
  <si>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</si>
  <si>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</si>
  <si>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</si>
  <si>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</si>
  <si>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</si>
  <si>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</si>
  <si>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USD/JPY</t>
  </si>
  <si>
    <t>売り</t>
  </si>
  <si>
    <t>負け</t>
  </si>
  <si>
    <t>引き分け</t>
  </si>
  <si>
    <t>240分足</t>
  </si>
  <si>
    <t>数量(**万通貨)</t>
  </si>
  <si>
    <t>売買(売=-1)</t>
  </si>
  <si>
    <t>ロスカット価格</t>
  </si>
  <si>
    <t>PB</t>
  </si>
  <si>
    <t>2010.02.15 20:00.</t>
  </si>
  <si>
    <t>2010.02.16.04:00</t>
  </si>
  <si>
    <t>買い-売り</t>
  </si>
  <si>
    <t>買い+売り</t>
  </si>
  <si>
    <t>買い</t>
  </si>
  <si>
    <t>合計</t>
  </si>
  <si>
    <t>勝ち+負け</t>
  </si>
  <si>
    <t>勝ち</t>
  </si>
  <si>
    <t>2014.08.11 12:00</t>
  </si>
  <si>
    <t>2014.08.15 08:00.</t>
  </si>
  <si>
    <t>リスクリワード?PF?</t>
  </si>
  <si>
    <t>気づき：</t>
  </si>
  <si>
    <t>60分足</t>
  </si>
  <si>
    <t>EUR/USD</t>
  </si>
  <si>
    <t>日足</t>
  </si>
  <si>
    <t>EB</t>
  </si>
  <si>
    <t>2015.10.07 23.30</t>
  </si>
  <si>
    <t>2015.10.08 03:00</t>
  </si>
  <si>
    <t>2015.10.08 03:00 .</t>
  </si>
  <si>
    <t>2015.10.08 03.00</t>
  </si>
  <si>
    <t>2015.10.08 08:00</t>
  </si>
  <si>
    <t>2015.10.08 07:00</t>
  </si>
  <si>
    <t>2015.10.08 11:00</t>
  </si>
  <si>
    <t>2015.10.08 14:00</t>
  </si>
  <si>
    <t>2015.10.08 14:00</t>
  </si>
  <si>
    <t>2015.10.09 00:00</t>
  </si>
  <si>
    <t>2015.10.12 05:00</t>
  </si>
  <si>
    <t>2015.10.12 10:00</t>
  </si>
  <si>
    <t>2015.10.12 11:00</t>
  </si>
  <si>
    <t>2015.10.12 20:00</t>
  </si>
  <si>
    <t>2015.10.13 01:00</t>
  </si>
  <si>
    <t>2015.10.13 00:00</t>
  </si>
  <si>
    <t>2015.10.08 22:00</t>
  </si>
  <si>
    <t>EB</t>
  </si>
  <si>
    <t>2015.10.13 10:00</t>
  </si>
  <si>
    <t>2015.10.13 21:00</t>
  </si>
  <si>
    <t>2015.10.14 04:00</t>
  </si>
  <si>
    <t>2015.10.15 08:00</t>
  </si>
  <si>
    <t>2015.10.15 03:00</t>
  </si>
  <si>
    <t>2015.10.15 21:00</t>
  </si>
  <si>
    <t>2015.10.</t>
  </si>
  <si>
    <t>2015.10.16 11:00</t>
  </si>
  <si>
    <t>EB3</t>
  </si>
  <si>
    <t>2015.10.18 23:00</t>
  </si>
  <si>
    <t>2015.10.18 21:00</t>
  </si>
  <si>
    <t>2015.10.19 10:00</t>
  </si>
  <si>
    <t>2015.10.20 03:00</t>
  </si>
  <si>
    <t>EB4</t>
  </si>
  <si>
    <t>2015.10.21 00.00</t>
  </si>
  <si>
    <t>EB6</t>
  </si>
  <si>
    <t>2015.10.21 10:00</t>
  </si>
  <si>
    <t>2015.10.21 23:00</t>
  </si>
  <si>
    <t>2015.10.21 20:00</t>
  </si>
  <si>
    <t>2015.10.22 22:00</t>
  </si>
  <si>
    <t>2015.10.22 22:00</t>
  </si>
  <si>
    <t>2015.10.23 05:00</t>
  </si>
  <si>
    <t>2015.10.23 06:00</t>
  </si>
  <si>
    <t>2015.10.23 08:00</t>
  </si>
  <si>
    <t>EB</t>
  </si>
  <si>
    <t>2015.10.23 08:00</t>
  </si>
  <si>
    <t>2015.10.23 00:00 .</t>
  </si>
  <si>
    <t>2015.10.16 05:00</t>
  </si>
  <si>
    <t>2015.10.23 00.00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</si>
</sst>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7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8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39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0" xfId="61" applyNumberFormat="1" applyFont="1" applyFill="1" applyBorder="1" applyAlignment="1" applyProtection="1">
      <alignment horizontal="center" vertical="center"/>
      <protection/>
    </xf>
    <xf numFmtId="0" fontId="6" fillId="35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 wrapText="1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182" fontId="6" fillId="35" borderId="42" xfId="61" applyNumberFormat="1" applyFont="1" applyFill="1" applyBorder="1" applyAlignment="1" applyProtection="1">
      <alignment horizontal="center" vertical="center" wrapText="1"/>
      <protection/>
    </xf>
    <xf numFmtId="183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182" fontId="6" fillId="35" borderId="44" xfId="61" applyNumberFormat="1" applyFont="1" applyFill="1" applyBorder="1" applyAlignment="1" applyProtection="1">
      <alignment vertical="center"/>
      <protection/>
    </xf>
    <xf numFmtId="184" fontId="6" fillId="35" borderId="45" xfId="61" applyNumberFormat="1" applyFont="1" applyFill="1" applyBorder="1" applyAlignment="1" applyProtection="1">
      <alignment horizontal="center" vertical="center"/>
      <protection/>
    </xf>
    <xf numFmtId="184" fontId="7" fillId="0" borderId="46" xfId="61" applyNumberFormat="1" applyFont="1" applyFill="1" applyBorder="1" applyAlignment="1" applyProtection="1">
      <alignment horizontal="right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5" fontId="7" fillId="0" borderId="47" xfId="61" applyNumberFormat="1" applyFont="1" applyFill="1" applyBorder="1" applyAlignment="1" applyProtection="1">
      <alignment horizontal="right" vertical="center"/>
      <protection/>
    </xf>
    <xf numFmtId="186" fontId="7" fillId="0" borderId="47" xfId="61" applyNumberFormat="1" applyFont="1" applyFill="1" applyBorder="1" applyAlignment="1" applyProtection="1">
      <alignment horizontal="right" vertical="center"/>
      <protection/>
    </xf>
    <xf numFmtId="187" fontId="7" fillId="0" borderId="47" xfId="61" applyNumberFormat="1" applyFont="1" applyFill="1" applyBorder="1" applyAlignment="1" applyProtection="1">
      <alignment vertical="center"/>
      <protection/>
    </xf>
    <xf numFmtId="184" fontId="7" fillId="0" borderId="47" xfId="61" applyNumberFormat="1" applyFont="1" applyFill="1" applyBorder="1" applyAlignment="1" applyProtection="1">
      <alignment vertical="center"/>
      <protection/>
    </xf>
    <xf numFmtId="181" fontId="7" fillId="0" borderId="47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4" fontId="0" fillId="0" borderId="46" xfId="0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0" fontId="0" fillId="0" borderId="47" xfId="0" applyNumberFormat="1" applyFont="1" applyFill="1" applyBorder="1" applyAlignment="1" applyProtection="1">
      <alignment vertical="center"/>
      <protection/>
    </xf>
    <xf numFmtId="184" fontId="0" fillId="0" borderId="49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0" fontId="0" fillId="0" borderId="50" xfId="0" applyNumberFormat="1" applyFont="1" applyFill="1" applyBorder="1" applyAlignment="1" applyProtection="1">
      <alignment vertical="center"/>
      <protection/>
    </xf>
    <xf numFmtId="185" fontId="7" fillId="0" borderId="50" xfId="61" applyNumberFormat="1" applyFont="1" applyFill="1" applyBorder="1" applyAlignment="1" applyProtection="1">
      <alignment horizontal="right" vertical="center"/>
      <protection/>
    </xf>
    <xf numFmtId="187" fontId="7" fillId="0" borderId="50" xfId="61" applyNumberFormat="1" applyFont="1" applyFill="1" applyBorder="1" applyAlignment="1" applyProtection="1">
      <alignment vertical="center"/>
      <protection/>
    </xf>
    <xf numFmtId="184" fontId="7" fillId="0" borderId="50" xfId="61" applyNumberFormat="1" applyFont="1" applyFill="1" applyBorder="1" applyAlignment="1" applyProtection="1">
      <alignment vertical="center"/>
      <protection/>
    </xf>
    <xf numFmtId="181" fontId="7" fillId="0" borderId="50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6" fontId="7" fillId="0" borderId="47" xfId="61" applyNumberFormat="1" applyFont="1" applyFill="1" applyBorder="1" applyAlignment="1" applyProtection="1">
      <alignment horizontal="right" vertical="center"/>
      <protection/>
    </xf>
    <xf numFmtId="6" fontId="7" fillId="0" borderId="50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2" xfId="0" applyNumberFormat="1" applyFont="1" applyFill="1" applyBorder="1" applyAlignment="1" applyProtection="1">
      <alignment vertical="center"/>
      <protection/>
    </xf>
    <xf numFmtId="184" fontId="1" fillId="0" borderId="53" xfId="0" applyNumberFormat="1" applyFont="1" applyFill="1" applyBorder="1" applyAlignment="1" applyProtection="1">
      <alignment vertical="center"/>
      <protection/>
    </xf>
    <xf numFmtId="6" fontId="1" fillId="0" borderId="53" xfId="0" applyNumberFormat="1" applyFont="1" applyFill="1" applyBorder="1" applyAlignment="1" applyProtection="1">
      <alignment vertical="center"/>
      <protection/>
    </xf>
    <xf numFmtId="186" fontId="1" fillId="0" borderId="53" xfId="0" applyNumberFormat="1" applyFont="1" applyFill="1" applyBorder="1" applyAlignment="1" applyProtection="1">
      <alignment vertical="center"/>
      <protection/>
    </xf>
    <xf numFmtId="185" fontId="1" fillId="0" borderId="53" xfId="0" applyNumberFormat="1" applyFont="1" applyFill="1" applyBorder="1" applyAlignment="1" applyProtection="1">
      <alignment vertical="center"/>
      <protection/>
    </xf>
    <xf numFmtId="187" fontId="8" fillId="0" borderId="53" xfId="0" applyNumberFormat="1" applyFont="1" applyFill="1" applyBorder="1" applyAlignment="1" applyProtection="1">
      <alignment vertical="center"/>
      <protection/>
    </xf>
    <xf numFmtId="181" fontId="1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9" fillId="0" borderId="48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7" xfId="61" applyNumberFormat="1" applyFont="1" applyFill="1" applyBorder="1" applyAlignment="1" applyProtection="1">
      <alignment vertical="center"/>
      <protection/>
    </xf>
    <xf numFmtId="5" fontId="6" fillId="36" borderId="57" xfId="61" applyNumberFormat="1" applyFont="1" applyFill="1" applyBorder="1" applyAlignment="1" applyProtection="1">
      <alignment horizontal="center" vertical="center"/>
      <protection/>
    </xf>
    <xf numFmtId="182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vertical="center"/>
      <protection/>
    </xf>
    <xf numFmtId="6" fontId="6" fillId="36" borderId="57" xfId="61" applyNumberFormat="1" applyFont="1" applyFill="1" applyBorder="1" applyAlignment="1" applyProtection="1">
      <alignment horizontal="center" vertical="center"/>
      <protection/>
    </xf>
    <xf numFmtId="0" fontId="0" fillId="36" borderId="57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5" fontId="7" fillId="37" borderId="58" xfId="61" applyNumberFormat="1" applyFont="1" applyFill="1" applyBorder="1" applyAlignment="1" applyProtection="1">
      <alignment horizontal="center"/>
      <protection/>
    </xf>
    <xf numFmtId="5" fontId="6" fillId="0" borderId="58" xfId="61" applyNumberFormat="1" applyFont="1" applyFill="1" applyBorder="1" applyAlignment="1" applyProtection="1">
      <alignment horizontal="center" vertical="center"/>
      <protection/>
    </xf>
    <xf numFmtId="0" fontId="6" fillId="0" borderId="58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59" xfId="61" applyNumberFormat="1" applyFont="1" applyFill="1" applyBorder="1" applyAlignment="1" applyProtection="1">
      <alignment horizontal="center" vertical="center"/>
      <protection/>
    </xf>
    <xf numFmtId="5" fontId="10" fillId="36" borderId="57" xfId="61" applyNumberFormat="1" applyFont="1" applyFill="1" applyBorder="1" applyAlignment="1" applyProtection="1">
      <alignment horizontal="center" vertical="center"/>
      <protection/>
    </xf>
    <xf numFmtId="9" fontId="6" fillId="36" borderId="60" xfId="61" applyNumberFormat="1" applyFont="1" applyFill="1" applyBorder="1" applyAlignment="1" applyProtection="1">
      <alignment horizontal="center" vertic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0" fontId="0" fillId="0" borderId="62" xfId="0" applyNumberFormat="1" applyFont="1" applyFill="1" applyBorder="1" applyAlignment="1" applyProtection="1">
      <alignment vertic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0" fillId="34" borderId="39" xfId="0" applyNumberFormat="1" applyFont="1" applyFill="1" applyBorder="1" applyAlignment="1" applyProtection="1">
      <alignment vertical="center"/>
      <protection/>
    </xf>
    <xf numFmtId="0" fontId="1" fillId="0" borderId="0" xfId="62">
      <alignment vertical="center"/>
      <protection/>
    </xf>
    <xf numFmtId="0" fontId="1" fillId="0" borderId="66" xfId="62" applyBorder="1">
      <alignment vertical="center"/>
      <protection/>
    </xf>
    <xf numFmtId="0" fontId="1" fillId="0" borderId="67" xfId="62" applyBorder="1">
      <alignment vertical="center"/>
      <protection/>
    </xf>
    <xf numFmtId="0" fontId="1" fillId="0" borderId="68" xfId="62" applyBorder="1">
      <alignment vertical="center"/>
      <protection/>
    </xf>
    <xf numFmtId="0" fontId="1" fillId="0" borderId="69" xfId="62" applyBorder="1">
      <alignment vertical="center"/>
      <protection/>
    </xf>
    <xf numFmtId="0" fontId="1" fillId="0" borderId="0" xfId="62" applyBorder="1">
      <alignment vertical="center"/>
      <protection/>
    </xf>
    <xf numFmtId="0" fontId="4" fillId="33" borderId="70" xfId="0" applyNumberFormat="1" applyFont="1" applyFill="1" applyBorder="1" applyAlignment="1" applyProtection="1">
      <alignment horizontal="center" vertical="center"/>
      <protection/>
    </xf>
    <xf numFmtId="0" fontId="4" fillId="33" borderId="39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0" xfId="61" applyNumberFormat="1" applyFont="1" applyFill="1" applyBorder="1" applyAlignment="1" applyProtection="1">
      <alignment horizontal="center"/>
      <protection/>
    </xf>
    <xf numFmtId="5" fontId="7" fillId="37" borderId="48" xfId="61" applyNumberFormat="1" applyFont="1" applyFill="1" applyBorder="1" applyAlignment="1" applyProtection="1">
      <alignment horizont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5" fontId="7" fillId="37" borderId="71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71" xfId="61" applyNumberFormat="1" applyFont="1" applyFill="1" applyBorder="1" applyAlignment="1" applyProtection="1">
      <alignment horizontal="center" vertical="center"/>
      <protection/>
    </xf>
    <xf numFmtId="5" fontId="6" fillId="0" borderId="72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気づき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P12" sqref="P12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8" width="13.125" style="0" customWidth="1"/>
    <col min="9" max="9" width="11.25390625" style="0" customWidth="1"/>
    <col min="10" max="10" width="15.875" style="0" customWidth="1"/>
    <col min="11" max="11" width="10.00390625" style="0" customWidth="1"/>
    <col min="12" max="12" width="18.375" style="0" customWidth="1"/>
    <col min="13" max="13" width="9.00390625" style="0" customWidth="1"/>
    <col min="14" max="15" width="10.00390625" style="0" customWidth="1"/>
    <col min="16" max="16" width="15.875" style="0" customWidth="1"/>
    <col min="17" max="17" width="0.12890625" style="0" customWidth="1"/>
    <col min="18" max="18" width="10.00390625" style="0" hidden="1" customWidth="1"/>
    <col min="19" max="19" width="0.2421875" style="0" customWidth="1"/>
  </cols>
  <sheetData>
    <row r="1" spans="1:16" ht="14.25" thickBot="1">
      <c r="A1" s="39" t="s">
        <v>22</v>
      </c>
      <c r="B1" s="40" t="s">
        <v>79</v>
      </c>
      <c r="C1" s="40" t="s">
        <v>78</v>
      </c>
      <c r="D1" s="40" t="s">
        <v>23</v>
      </c>
      <c r="E1" s="40" t="s">
        <v>24</v>
      </c>
      <c r="F1" s="40" t="s">
        <v>25</v>
      </c>
      <c r="G1" s="40" t="s">
        <v>26</v>
      </c>
      <c r="H1" s="40" t="s">
        <v>80</v>
      </c>
      <c r="I1" s="40" t="s">
        <v>27</v>
      </c>
      <c r="J1" s="40" t="s">
        <v>28</v>
      </c>
      <c r="K1" s="40" t="s">
        <v>29</v>
      </c>
      <c r="L1" s="40" t="s">
        <v>30</v>
      </c>
      <c r="M1" s="40" t="s">
        <v>31</v>
      </c>
      <c r="N1" s="40" t="s">
        <v>32</v>
      </c>
      <c r="O1" s="124" t="s">
        <v>33</v>
      </c>
      <c r="P1" s="41" t="s">
        <v>34</v>
      </c>
    </row>
    <row r="2" spans="1:19" ht="13.5" customHeight="1">
      <c r="A2" t="s">
        <v>73</v>
      </c>
      <c r="B2">
        <f>IF(G2&gt;H2,1,-1)</f>
        <v>1</v>
      </c>
      <c r="C2">
        <f>INT(10/(G2-H2)*B2)/10</f>
        <v>7.1</v>
      </c>
      <c r="D2" t="s">
        <v>81</v>
      </c>
      <c r="E2" t="s">
        <v>77</v>
      </c>
      <c r="F2" t="s">
        <v>82</v>
      </c>
      <c r="G2">
        <v>90.03</v>
      </c>
      <c r="H2">
        <v>89.89</v>
      </c>
      <c r="I2" t="s">
        <v>77</v>
      </c>
      <c r="J2" t="s">
        <v>83</v>
      </c>
      <c r="K2">
        <v>89.89</v>
      </c>
      <c r="L2" t="str">
        <f>IF(B2&gt;0,"ストップ切上げ","ストップ切り下げ")</f>
        <v>ストップ切上げ</v>
      </c>
      <c r="M2">
        <f>IF(P2&gt;0,1,IF(P2&lt;0,-1,0))</f>
        <v>-1</v>
      </c>
      <c r="N2">
        <f>IF((K2-G2)*B2&gt;0,(K2-G2)*B2*100,0)</f>
        <v>0</v>
      </c>
      <c r="O2">
        <f>IF((K2-G2)*B2&lt;0,(G2-K2)*B2*100,0)</f>
        <v>14.000000000000057</v>
      </c>
      <c r="P2">
        <f>(K2-G2)*C2*B2*10000</f>
        <v>-9940.00000000004</v>
      </c>
      <c r="Q2">
        <f>IF(P2&gt;0,P2,0)</f>
        <v>0</v>
      </c>
      <c r="R2">
        <f>IF(P2&lt;0,P2,0)</f>
        <v>-9940.00000000004</v>
      </c>
      <c r="S2">
        <f>M2</f>
        <v>-1</v>
      </c>
    </row>
    <row r="3" spans="1:19" ht="12.75" customHeight="1">
      <c r="A3" t="s">
        <v>73</v>
      </c>
      <c r="B3">
        <f>IF(G3&gt;H3,1,-1)</f>
        <v>1</v>
      </c>
      <c r="C3">
        <f>INT(10/(G3-H3)*B3)/10</f>
        <v>6.6</v>
      </c>
      <c r="D3" t="s">
        <v>81</v>
      </c>
      <c r="E3" t="s">
        <v>77</v>
      </c>
      <c r="F3" t="s">
        <v>90</v>
      </c>
      <c r="G3">
        <v>102.2</v>
      </c>
      <c r="H3">
        <v>102.05</v>
      </c>
      <c r="I3" t="s">
        <v>77</v>
      </c>
      <c r="J3" t="s">
        <v>91</v>
      </c>
      <c r="K3">
        <v>102.29</v>
      </c>
      <c r="L3" t="str">
        <f>IF(B3&gt;0,"ストップ切上げ","ストップ切り下げ")</f>
        <v>ストップ切上げ</v>
      </c>
      <c r="M3">
        <f>IF(P3&gt;0,1,IF(P3&lt;0,-1,0))</f>
        <v>1</v>
      </c>
      <c r="N3">
        <f>IF((K3-G3)*B3&gt;0,(K3-G3)*B3*100,0)</f>
        <v>9.000000000000341</v>
      </c>
      <c r="O3">
        <f>IF((K3-G3)*B3&lt;0,(G3-K3)*B3*100,0)</f>
        <v>0</v>
      </c>
      <c r="P3">
        <f>(K3-G3)*C3*B3*10000</f>
        <v>5940.000000000226</v>
      </c>
      <c r="Q3">
        <f>IF(P3&gt;0,P3,0)</f>
        <v>5940.000000000226</v>
      </c>
      <c r="R3">
        <f>IF(P3&lt;0,P3,0)</f>
        <v>0</v>
      </c>
      <c r="S3">
        <f>IF(M3=M2,S2+M3,M3)</f>
        <v>1</v>
      </c>
    </row>
    <row r="4" spans="14:15" ht="13.5">
      <c r="N4" s="10"/>
      <c r="O4" s="10"/>
    </row>
    <row r="5" spans="1:18" ht="14.25" customHeight="1">
      <c r="A5" t="s">
        <v>84</v>
      </c>
      <c r="B5">
        <f>SUM(B2:B4)</f>
        <v>2</v>
      </c>
      <c r="L5" t="s">
        <v>87</v>
      </c>
      <c r="M5" s="42">
        <f>SUM(M2:M4)</f>
        <v>0</v>
      </c>
      <c r="N5" s="10">
        <f>INT(SUM(N2:N4))</f>
        <v>9</v>
      </c>
      <c r="O5" s="10">
        <f>INT(SUM(O2:O4))</f>
        <v>14</v>
      </c>
      <c r="P5">
        <f>SUM(P2:P4)</f>
        <v>-3999.9999999998145</v>
      </c>
      <c r="Q5">
        <f>SUM(Q2:Q4)</f>
        <v>5940.000000000226</v>
      </c>
      <c r="R5">
        <f>SUM(R2:R4)</f>
        <v>-9940.00000000004</v>
      </c>
    </row>
    <row r="6" spans="1:15" ht="1.5" customHeight="1" hidden="1">
      <c r="A6" t="s">
        <v>85</v>
      </c>
      <c r="B6">
        <f>SUMSQ(B2:B4)</f>
        <v>2</v>
      </c>
      <c r="L6" t="s">
        <v>88</v>
      </c>
      <c r="M6">
        <f>SUMSQ(M2:M4)</f>
        <v>2</v>
      </c>
      <c r="N6" s="10"/>
      <c r="O6" s="10"/>
    </row>
    <row r="7" spans="1:15" ht="17.25" customHeight="1" hidden="1">
      <c r="A7" t="s">
        <v>86</v>
      </c>
      <c r="B7">
        <f>(B5+B6)/2</f>
        <v>2</v>
      </c>
      <c r="L7" t="s">
        <v>89</v>
      </c>
      <c r="M7">
        <f>(M6+M5)/2</f>
        <v>1</v>
      </c>
      <c r="N7" s="10"/>
      <c r="O7" s="10"/>
    </row>
    <row r="8" spans="1:13" ht="15.75" customHeight="1" hidden="1">
      <c r="A8" t="s">
        <v>74</v>
      </c>
      <c r="B8">
        <f>(B6-B5)/2</f>
        <v>0</v>
      </c>
      <c r="L8" t="s">
        <v>75</v>
      </c>
      <c r="M8">
        <f>(M6-M5)/2</f>
        <v>1</v>
      </c>
    </row>
    <row r="9" spans="12:15" ht="0.75" customHeight="1">
      <c r="L9" t="s">
        <v>76</v>
      </c>
      <c r="M9" s="11">
        <f>B6-M6</f>
        <v>0</v>
      </c>
      <c r="N9" s="12"/>
      <c r="O9" s="12"/>
    </row>
    <row r="11" ht="13.5" customHeight="1" thickBot="1"/>
    <row r="12" spans="3:10" ht="14.25" thickBot="1">
      <c r="C12" s="131" t="s">
        <v>36</v>
      </c>
      <c r="D12" s="132"/>
      <c r="F12" s="133" t="s">
        <v>37</v>
      </c>
      <c r="G12" s="134"/>
      <c r="H12" s="28"/>
      <c r="I12" s="28" t="s">
        <v>38</v>
      </c>
      <c r="J12" s="31" t="s">
        <v>39</v>
      </c>
    </row>
    <row r="13" spans="3:10" ht="13.5">
      <c r="C13" s="5" t="s">
        <v>40</v>
      </c>
      <c r="D13" s="6" t="str">
        <f>F2&amp;"～"&amp;F3</f>
        <v>2010.02.15 20:00.～2014.08.11 12:00</v>
      </c>
      <c r="F13" s="5"/>
      <c r="G13" s="15"/>
      <c r="H13" s="21"/>
      <c r="I13" s="21"/>
      <c r="J13" s="24"/>
    </row>
    <row r="14" spans="3:10" ht="13.5">
      <c r="C14" s="2" t="s">
        <v>41</v>
      </c>
      <c r="D14" s="1">
        <f>B7</f>
        <v>2</v>
      </c>
      <c r="F14" s="2"/>
      <c r="G14" s="17"/>
      <c r="H14" s="22"/>
      <c r="I14" s="22"/>
      <c r="J14" s="18"/>
    </row>
    <row r="15" spans="3:10" ht="13.5">
      <c r="C15" s="2" t="s">
        <v>42</v>
      </c>
      <c r="D15" s="1">
        <f>B8</f>
        <v>0</v>
      </c>
      <c r="F15" s="2"/>
      <c r="G15" s="17"/>
      <c r="H15" s="22"/>
      <c r="I15" s="22"/>
      <c r="J15" s="18"/>
    </row>
    <row r="16" spans="3:10" ht="13.5">
      <c r="C16" s="2" t="s">
        <v>43</v>
      </c>
      <c r="D16" s="1">
        <f>B6</f>
        <v>2</v>
      </c>
      <c r="F16" s="2"/>
      <c r="G16" s="17"/>
      <c r="H16" s="22"/>
      <c r="I16" s="22"/>
      <c r="J16" s="18"/>
    </row>
    <row r="17" spans="3:10" ht="13.5">
      <c r="C17" s="2" t="s">
        <v>44</v>
      </c>
      <c r="D17" s="1">
        <f>M7</f>
        <v>1</v>
      </c>
      <c r="F17" s="2"/>
      <c r="G17" s="17"/>
      <c r="H17" s="22"/>
      <c r="I17" s="22"/>
      <c r="J17" s="18"/>
    </row>
    <row r="18" spans="3:10" ht="13.5">
      <c r="C18" s="2" t="s">
        <v>45</v>
      </c>
      <c r="D18" s="4">
        <f>M8</f>
        <v>1</v>
      </c>
      <c r="F18" s="2"/>
      <c r="G18" s="17"/>
      <c r="H18" s="22"/>
      <c r="I18" s="22"/>
      <c r="J18" s="18"/>
    </row>
    <row r="19" spans="3:10" ht="13.5">
      <c r="C19" s="2" t="s">
        <v>46</v>
      </c>
      <c r="D19" s="1">
        <f>M9</f>
        <v>0</v>
      </c>
      <c r="F19" s="2"/>
      <c r="G19" s="17"/>
      <c r="H19" s="22"/>
      <c r="I19" s="22"/>
      <c r="J19" s="18"/>
    </row>
    <row r="20" spans="3:10" ht="13.5">
      <c r="C20" s="8" t="s">
        <v>47</v>
      </c>
      <c r="D20" s="9">
        <v>0</v>
      </c>
      <c r="F20" s="2"/>
      <c r="G20" s="17"/>
      <c r="H20" s="22"/>
      <c r="I20" s="22"/>
      <c r="J20" s="18"/>
    </row>
    <row r="21" spans="3:10" ht="13.5">
      <c r="C21" s="2" t="s">
        <v>48</v>
      </c>
      <c r="D21" s="1">
        <f>Q5</f>
        <v>5940.000000000226</v>
      </c>
      <c r="F21" s="2"/>
      <c r="G21" s="17"/>
      <c r="H21" s="22"/>
      <c r="I21" s="22"/>
      <c r="J21" s="18"/>
    </row>
    <row r="22" spans="3:10" ht="13.5">
      <c r="C22" s="2" t="s">
        <v>49</v>
      </c>
      <c r="D22" s="4">
        <f>R5</f>
        <v>-9940.00000000004</v>
      </c>
      <c r="F22" s="2"/>
      <c r="G22" s="17"/>
      <c r="H22" s="22"/>
      <c r="I22" s="22"/>
      <c r="J22" s="18"/>
    </row>
    <row r="23" spans="3:10" ht="13.5">
      <c r="C23" s="2" t="s">
        <v>50</v>
      </c>
      <c r="D23" s="1">
        <f>P5</f>
        <v>-3999.9999999998145</v>
      </c>
      <c r="F23" s="5"/>
      <c r="G23" s="15"/>
      <c r="H23" s="21"/>
      <c r="I23" s="21"/>
      <c r="J23" s="16"/>
    </row>
    <row r="24" spans="3:10" ht="13.5">
      <c r="C24" s="2" t="s">
        <v>15</v>
      </c>
      <c r="D24" s="13">
        <f>D21/D17</f>
        <v>5940.000000000226</v>
      </c>
      <c r="F24" s="2"/>
      <c r="G24" s="17"/>
      <c r="H24" s="22"/>
      <c r="I24" s="22"/>
      <c r="J24" s="18"/>
    </row>
    <row r="25" spans="3:10" ht="13.5">
      <c r="C25" s="2" t="s">
        <v>16</v>
      </c>
      <c r="D25" s="13">
        <f>D22/D18</f>
        <v>-9940.00000000004</v>
      </c>
      <c r="F25" s="2"/>
      <c r="G25" s="17"/>
      <c r="H25" s="22"/>
      <c r="I25" s="22"/>
      <c r="J25" s="18"/>
    </row>
    <row r="26" spans="3:10" ht="13.5">
      <c r="C26" s="2" t="s">
        <v>51</v>
      </c>
      <c r="D26" s="1">
        <f>MAX(S2:S4)</f>
        <v>1</v>
      </c>
      <c r="F26" s="2"/>
      <c r="G26" s="17"/>
      <c r="H26" s="22"/>
      <c r="I26" s="22"/>
      <c r="J26" s="18"/>
    </row>
    <row r="27" spans="3:10" ht="13.5">
      <c r="C27" s="2" t="s">
        <v>52</v>
      </c>
      <c r="D27" s="1">
        <f>-MIN(S2:S4)</f>
        <v>1</v>
      </c>
      <c r="F27" s="2"/>
      <c r="G27" s="17"/>
      <c r="H27" s="22"/>
      <c r="I27" s="22"/>
      <c r="J27" s="18"/>
    </row>
    <row r="28" spans="3:10" ht="13.5">
      <c r="C28" s="2" t="s">
        <v>53</v>
      </c>
      <c r="D28" s="14">
        <f>MAX(N2:N4)</f>
        <v>9.000000000000341</v>
      </c>
      <c r="F28" s="2"/>
      <c r="G28" s="17"/>
      <c r="H28" s="22"/>
      <c r="I28" s="22"/>
      <c r="J28" s="18"/>
    </row>
    <row r="29" spans="3:10" ht="14.25" thickBot="1">
      <c r="C29" s="3" t="s">
        <v>14</v>
      </c>
      <c r="D29" s="7">
        <f>D17/(D17+D18)</f>
        <v>0.5</v>
      </c>
      <c r="F29" s="2"/>
      <c r="G29" s="17"/>
      <c r="H29" s="22"/>
      <c r="I29" s="22"/>
      <c r="J29" s="18"/>
    </row>
    <row r="30" spans="3:10" ht="13.5">
      <c r="C30" s="8" t="s">
        <v>92</v>
      </c>
      <c r="D30">
        <f>(INT(-100*D24/D25))/100</f>
        <v>0.59</v>
      </c>
      <c r="F30" s="2"/>
      <c r="G30" s="17"/>
      <c r="H30" s="22"/>
      <c r="I30" s="22"/>
      <c r="J30" s="18"/>
    </row>
    <row r="31" spans="6:10" ht="14.25" thickBot="1">
      <c r="F31" s="3"/>
      <c r="G31" s="19"/>
      <c r="H31" s="23"/>
      <c r="I31" s="23"/>
      <c r="J31" s="20"/>
    </row>
    <row r="32" spans="6:10" ht="14.25" thickBot="1">
      <c r="F32" s="38" t="s">
        <v>35</v>
      </c>
      <c r="G32" s="43">
        <f>SUM(G13:G31)</f>
        <v>0</v>
      </c>
      <c r="H32" s="43"/>
      <c r="I32" s="43">
        <f>SUM(I13:I31)</f>
        <v>0</v>
      </c>
      <c r="J32" s="43">
        <f>SUM(J13:J31)</f>
        <v>0</v>
      </c>
    </row>
    <row r="35" spans="6:11" ht="14.25" thickBot="1">
      <c r="F35" s="133" t="s">
        <v>54</v>
      </c>
      <c r="G35" s="134"/>
      <c r="H35" s="28"/>
      <c r="I35" s="28" t="s">
        <v>38</v>
      </c>
      <c r="J35" s="29" t="s">
        <v>39</v>
      </c>
      <c r="K35" s="30" t="s">
        <v>55</v>
      </c>
    </row>
    <row r="36" spans="6:11" ht="13.5">
      <c r="F36" s="5" t="s">
        <v>56</v>
      </c>
      <c r="G36" s="15">
        <v>0</v>
      </c>
      <c r="H36" s="21"/>
      <c r="I36" s="21">
        <v>0</v>
      </c>
      <c r="J36" s="25">
        <v>0</v>
      </c>
      <c r="K36" s="26">
        <v>0</v>
      </c>
    </row>
    <row r="37" spans="6:11" ht="13.5">
      <c r="F37" s="2" t="s">
        <v>57</v>
      </c>
      <c r="G37" s="17">
        <v>0</v>
      </c>
      <c r="H37" s="17"/>
      <c r="I37" s="17">
        <v>0</v>
      </c>
      <c r="J37" s="22">
        <v>0</v>
      </c>
      <c r="K37" s="27">
        <v>0</v>
      </c>
    </row>
    <row r="38" spans="6:11" ht="13.5">
      <c r="F38" s="2" t="s">
        <v>58</v>
      </c>
      <c r="G38" s="17">
        <v>0</v>
      </c>
      <c r="H38" s="17"/>
      <c r="I38" s="17">
        <v>0</v>
      </c>
      <c r="J38" s="22">
        <v>0</v>
      </c>
      <c r="K38" s="27">
        <v>0</v>
      </c>
    </row>
    <row r="39" spans="6:11" ht="13.5">
      <c r="F39" s="2" t="s">
        <v>59</v>
      </c>
      <c r="G39" s="17">
        <v>0</v>
      </c>
      <c r="H39" s="17"/>
      <c r="I39" s="17">
        <v>0</v>
      </c>
      <c r="J39" s="22">
        <v>0</v>
      </c>
      <c r="K39" s="27">
        <v>0</v>
      </c>
    </row>
    <row r="40" spans="6:11" ht="14.25" thickBot="1">
      <c r="F40" s="33" t="s">
        <v>60</v>
      </c>
      <c r="G40" s="34">
        <v>0</v>
      </c>
      <c r="H40" s="34"/>
      <c r="I40" s="34">
        <v>0</v>
      </c>
      <c r="J40" s="35">
        <v>0</v>
      </c>
      <c r="K40" s="36">
        <v>0</v>
      </c>
    </row>
    <row r="41" spans="6:11" ht="14.25" thickBot="1">
      <c r="F41" s="32" t="s">
        <v>35</v>
      </c>
      <c r="G41" s="32"/>
      <c r="H41" s="32"/>
      <c r="I41" s="32"/>
      <c r="J41" s="37"/>
      <c r="K41" s="123">
        <f>SUM(K36:K40)</f>
        <v>0</v>
      </c>
    </row>
  </sheetData>
  <sheetProtection/>
  <mergeCells count="3">
    <mergeCell ref="C12:D12"/>
    <mergeCell ref="F12:G12"/>
    <mergeCell ref="F35:G35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2" sqref="B2:D2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19"/>
      <c r="B1" s="135" t="s">
        <v>0</v>
      </c>
      <c r="C1" s="136"/>
      <c r="D1" s="137"/>
      <c r="E1" s="118"/>
      <c r="F1" s="138" t="s">
        <v>0</v>
      </c>
      <c r="G1" s="139"/>
      <c r="H1" s="120"/>
    </row>
    <row r="2" spans="1:9" ht="25.5" customHeight="1">
      <c r="A2" s="121" t="s">
        <v>1</v>
      </c>
      <c r="B2" s="140">
        <v>3000000</v>
      </c>
      <c r="C2" s="140"/>
      <c r="D2" s="140"/>
      <c r="E2" s="62" t="s">
        <v>2</v>
      </c>
      <c r="F2" s="141">
        <v>41609</v>
      </c>
      <c r="G2" s="142"/>
      <c r="H2" s="44"/>
      <c r="I2" s="44"/>
    </row>
    <row r="3" spans="1:11" ht="27" customHeight="1">
      <c r="A3" s="45" t="s">
        <v>3</v>
      </c>
      <c r="B3" s="143">
        <f>SUM(B2+D17)</f>
        <v>3020000</v>
      </c>
      <c r="C3" s="143"/>
      <c r="D3" s="144"/>
      <c r="E3" s="46" t="s">
        <v>4</v>
      </c>
      <c r="F3" s="47">
        <v>0.02</v>
      </c>
      <c r="G3" s="48">
        <f>B3*F3</f>
        <v>60400</v>
      </c>
      <c r="H3" s="50" t="s">
        <v>5</v>
      </c>
      <c r="I3" s="51">
        <f>(B3-B2)</f>
        <v>20000</v>
      </c>
      <c r="K3" s="122"/>
    </row>
    <row r="4" spans="1:9" s="101" customFormat="1" ht="17.25" customHeight="1">
      <c r="A4" s="96"/>
      <c r="B4" s="97"/>
      <c r="C4" s="97"/>
      <c r="D4" s="97"/>
      <c r="E4" s="98"/>
      <c r="F4" s="117" t="s">
        <v>0</v>
      </c>
      <c r="G4" s="97"/>
      <c r="H4" s="99"/>
      <c r="I4" s="100"/>
    </row>
    <row r="5" spans="1:12" ht="39" customHeight="1">
      <c r="A5" s="102"/>
      <c r="B5" s="103"/>
      <c r="C5" s="103"/>
      <c r="D5" s="115"/>
      <c r="E5" s="104"/>
      <c r="F5" s="116"/>
      <c r="G5" s="103"/>
      <c r="H5" s="105"/>
      <c r="I5" s="106"/>
      <c r="J5" s="107"/>
      <c r="K5" s="108"/>
      <c r="L5" s="108"/>
    </row>
    <row r="6" spans="1:12" ht="21" customHeight="1">
      <c r="A6" s="112" t="s">
        <v>6</v>
      </c>
      <c r="B6" s="110" t="s">
        <v>0</v>
      </c>
      <c r="C6" s="110" t="s">
        <v>0</v>
      </c>
      <c r="D6" s="111"/>
      <c r="E6" s="110" t="s">
        <v>0</v>
      </c>
      <c r="F6" s="113" t="s">
        <v>0</v>
      </c>
      <c r="G6" s="49"/>
      <c r="H6" s="44"/>
      <c r="I6" s="44"/>
      <c r="L6" s="109"/>
    </row>
    <row r="7" spans="1:12" ht="28.5">
      <c r="A7" s="114" t="s">
        <v>7</v>
      </c>
      <c r="B7" s="56" t="s">
        <v>8</v>
      </c>
      <c r="C7" s="57" t="s">
        <v>9</v>
      </c>
      <c r="D7" s="58" t="s">
        <v>10</v>
      </c>
      <c r="E7" s="59" t="s">
        <v>11</v>
      </c>
      <c r="F7" s="57" t="s">
        <v>12</v>
      </c>
      <c r="G7" s="59" t="s">
        <v>13</v>
      </c>
      <c r="H7" s="58" t="s">
        <v>14</v>
      </c>
      <c r="I7" s="60" t="s">
        <v>15</v>
      </c>
      <c r="J7" s="63" t="s">
        <v>16</v>
      </c>
      <c r="K7" s="57" t="s">
        <v>17</v>
      </c>
      <c r="L7" s="61" t="s">
        <v>18</v>
      </c>
    </row>
    <row r="8" spans="1:12" ht="24.75" customHeight="1">
      <c r="A8" s="53">
        <v>42095</v>
      </c>
      <c r="B8" s="64">
        <v>20000</v>
      </c>
      <c r="C8" s="65"/>
      <c r="D8" s="83">
        <f aca="true" t="shared" si="0" ref="D8:D16">SUM(B8-C8)</f>
        <v>20000</v>
      </c>
      <c r="E8" s="66"/>
      <c r="F8" s="67"/>
      <c r="G8" s="66">
        <f aca="true" t="shared" si="1" ref="G8:G16">SUM(E8+F8)</f>
        <v>0</v>
      </c>
      <c r="H8" s="68" t="e">
        <f aca="true" t="shared" si="2" ref="H8:H16">E8/G8</f>
        <v>#DIV/0!</v>
      </c>
      <c r="I8" s="69" t="e">
        <f aca="true" t="shared" si="3" ref="I8:I16">B8/E8</f>
        <v>#DIV/0!</v>
      </c>
      <c r="J8" s="69" t="e">
        <f aca="true" t="shared" si="4" ref="J8:J16">C8/F8</f>
        <v>#DIV/0!</v>
      </c>
      <c r="K8" s="70" t="e">
        <f aca="true" t="shared" si="5" ref="K8:K16">I8/J8</f>
        <v>#DIV/0!</v>
      </c>
      <c r="L8" s="71" t="e">
        <f aca="true" t="shared" si="6" ref="L8:L16">B8/C8</f>
        <v>#DIV/0!</v>
      </c>
    </row>
    <row r="9" spans="1:12" ht="24.75" customHeight="1">
      <c r="A9" s="54">
        <v>42125</v>
      </c>
      <c r="B9" s="72"/>
      <c r="C9" s="73"/>
      <c r="D9" s="83">
        <f t="shared" si="0"/>
        <v>0</v>
      </c>
      <c r="E9" s="74"/>
      <c r="F9" s="74"/>
      <c r="G9" s="66">
        <f t="shared" si="1"/>
        <v>0</v>
      </c>
      <c r="H9" s="68" t="e">
        <f t="shared" si="2"/>
        <v>#DIV/0!</v>
      </c>
      <c r="I9" s="69" t="e">
        <f t="shared" si="3"/>
        <v>#DIV/0!</v>
      </c>
      <c r="J9" s="69" t="e">
        <f t="shared" si="4"/>
        <v>#DIV/0!</v>
      </c>
      <c r="K9" s="70" t="e">
        <f t="shared" si="5"/>
        <v>#DIV/0!</v>
      </c>
      <c r="L9" s="71" t="e">
        <f t="shared" si="6"/>
        <v>#DIV/0!</v>
      </c>
    </row>
    <row r="10" spans="1:12" ht="24.75" customHeight="1">
      <c r="A10" s="53">
        <v>42156</v>
      </c>
      <c r="B10" s="72"/>
      <c r="C10" s="73"/>
      <c r="D10" s="83">
        <f t="shared" si="0"/>
        <v>0</v>
      </c>
      <c r="E10" s="74"/>
      <c r="F10" s="74"/>
      <c r="G10" s="66">
        <f t="shared" si="1"/>
        <v>0</v>
      </c>
      <c r="H10" s="68" t="e">
        <f t="shared" si="2"/>
        <v>#DIV/0!</v>
      </c>
      <c r="I10" s="69" t="e">
        <f t="shared" si="3"/>
        <v>#DIV/0!</v>
      </c>
      <c r="J10" s="69" t="e">
        <f t="shared" si="4"/>
        <v>#DIV/0!</v>
      </c>
      <c r="K10" s="70" t="e">
        <f t="shared" si="5"/>
        <v>#DIV/0!</v>
      </c>
      <c r="L10" s="71" t="e">
        <f t="shared" si="6"/>
        <v>#DIV/0!</v>
      </c>
    </row>
    <row r="11" spans="1:12" ht="24.75" customHeight="1">
      <c r="A11" s="54">
        <v>42186</v>
      </c>
      <c r="B11" s="72"/>
      <c r="C11" s="73"/>
      <c r="D11" s="83">
        <f t="shared" si="0"/>
        <v>0</v>
      </c>
      <c r="E11" s="74"/>
      <c r="F11" s="74"/>
      <c r="G11" s="66">
        <f t="shared" si="1"/>
        <v>0</v>
      </c>
      <c r="H11" s="68" t="e">
        <f t="shared" si="2"/>
        <v>#DIV/0!</v>
      </c>
      <c r="I11" s="69" t="e">
        <f t="shared" si="3"/>
        <v>#DIV/0!</v>
      </c>
      <c r="J11" s="69" t="e">
        <f t="shared" si="4"/>
        <v>#DIV/0!</v>
      </c>
      <c r="K11" s="70" t="e">
        <f t="shared" si="5"/>
        <v>#DIV/0!</v>
      </c>
      <c r="L11" s="71" t="e">
        <f t="shared" si="6"/>
        <v>#DIV/0!</v>
      </c>
    </row>
    <row r="12" spans="1:12" ht="24.75" customHeight="1">
      <c r="A12" s="53">
        <v>42217</v>
      </c>
      <c r="B12" s="72"/>
      <c r="C12" s="65"/>
      <c r="D12" s="83">
        <f t="shared" si="0"/>
        <v>0</v>
      </c>
      <c r="E12" s="74"/>
      <c r="F12" s="74"/>
      <c r="G12" s="66">
        <f t="shared" si="1"/>
        <v>0</v>
      </c>
      <c r="H12" s="68" t="e">
        <f t="shared" si="2"/>
        <v>#DIV/0!</v>
      </c>
      <c r="I12" s="69" t="e">
        <f t="shared" si="3"/>
        <v>#DIV/0!</v>
      </c>
      <c r="J12" s="69" t="e">
        <f t="shared" si="4"/>
        <v>#DIV/0!</v>
      </c>
      <c r="K12" s="70" t="e">
        <f t="shared" si="5"/>
        <v>#DIV/0!</v>
      </c>
      <c r="L12" s="71" t="e">
        <f t="shared" si="6"/>
        <v>#DIV/0!</v>
      </c>
    </row>
    <row r="13" spans="1:12" ht="24.75" customHeight="1">
      <c r="A13" s="54">
        <v>42248</v>
      </c>
      <c r="B13" s="72"/>
      <c r="C13" s="73"/>
      <c r="D13" s="83">
        <f t="shared" si="0"/>
        <v>0</v>
      </c>
      <c r="E13" s="74"/>
      <c r="F13" s="74"/>
      <c r="G13" s="66">
        <f t="shared" si="1"/>
        <v>0</v>
      </c>
      <c r="H13" s="68" t="e">
        <f t="shared" si="2"/>
        <v>#DIV/0!</v>
      </c>
      <c r="I13" s="69" t="e">
        <f t="shared" si="3"/>
        <v>#DIV/0!</v>
      </c>
      <c r="J13" s="69" t="e">
        <f t="shared" si="4"/>
        <v>#DIV/0!</v>
      </c>
      <c r="K13" s="70" t="e">
        <f t="shared" si="5"/>
        <v>#DIV/0!</v>
      </c>
      <c r="L13" s="71" t="e">
        <f t="shared" si="6"/>
        <v>#DIV/0!</v>
      </c>
    </row>
    <row r="14" spans="1:12" ht="24.75" customHeight="1">
      <c r="A14" s="53">
        <v>42278</v>
      </c>
      <c r="B14" s="72"/>
      <c r="C14" s="65"/>
      <c r="D14" s="83">
        <f t="shared" si="0"/>
        <v>0</v>
      </c>
      <c r="E14" s="74"/>
      <c r="F14" s="74"/>
      <c r="G14" s="66">
        <f t="shared" si="1"/>
        <v>0</v>
      </c>
      <c r="H14" s="68" t="e">
        <f t="shared" si="2"/>
        <v>#DIV/0!</v>
      </c>
      <c r="I14" s="69" t="e">
        <f t="shared" si="3"/>
        <v>#DIV/0!</v>
      </c>
      <c r="J14" s="69" t="e">
        <f t="shared" si="4"/>
        <v>#DIV/0!</v>
      </c>
      <c r="K14" s="70" t="e">
        <f t="shared" si="5"/>
        <v>#DIV/0!</v>
      </c>
      <c r="L14" s="71" t="e">
        <f t="shared" si="6"/>
        <v>#DIV/0!</v>
      </c>
    </row>
    <row r="15" spans="1:12" ht="24.75" customHeight="1">
      <c r="A15" s="54">
        <v>42309</v>
      </c>
      <c r="B15" s="72"/>
      <c r="C15" s="65"/>
      <c r="D15" s="83">
        <f t="shared" si="0"/>
        <v>0</v>
      </c>
      <c r="E15" s="74"/>
      <c r="F15" s="74"/>
      <c r="G15" s="66">
        <f t="shared" si="1"/>
        <v>0</v>
      </c>
      <c r="H15" s="68" t="e">
        <f t="shared" si="2"/>
        <v>#DIV/0!</v>
      </c>
      <c r="I15" s="69" t="e">
        <f t="shared" si="3"/>
        <v>#DIV/0!</v>
      </c>
      <c r="J15" s="69" t="e">
        <f t="shared" si="4"/>
        <v>#DIV/0!</v>
      </c>
      <c r="K15" s="70" t="e">
        <f t="shared" si="5"/>
        <v>#DIV/0!</v>
      </c>
      <c r="L15" s="71" t="e">
        <f t="shared" si="6"/>
        <v>#DIV/0!</v>
      </c>
    </row>
    <row r="16" spans="1:12" ht="24.75" customHeight="1">
      <c r="A16" s="55">
        <v>42339</v>
      </c>
      <c r="B16" s="75"/>
      <c r="C16" s="76"/>
      <c r="D16" s="84">
        <f t="shared" si="0"/>
        <v>0</v>
      </c>
      <c r="E16" s="77"/>
      <c r="F16" s="77"/>
      <c r="G16" s="78">
        <f t="shared" si="1"/>
        <v>0</v>
      </c>
      <c r="H16" s="79" t="e">
        <f t="shared" si="2"/>
        <v>#DIV/0!</v>
      </c>
      <c r="I16" s="80" t="e">
        <f t="shared" si="3"/>
        <v>#DIV/0!</v>
      </c>
      <c r="J16" s="80" t="e">
        <f t="shared" si="4"/>
        <v>#DIV/0!</v>
      </c>
      <c r="K16" s="81" t="e">
        <f t="shared" si="5"/>
        <v>#DIV/0!</v>
      </c>
      <c r="L16" s="82" t="e">
        <f t="shared" si="6"/>
        <v>#DIV/0!</v>
      </c>
    </row>
    <row r="17" spans="1:12" ht="24.75" customHeight="1">
      <c r="A17" s="85" t="s">
        <v>19</v>
      </c>
      <c r="B17" s="86">
        <f aca="true" t="shared" si="7" ref="B17:G17">SUM(B8:B16)</f>
        <v>20000</v>
      </c>
      <c r="C17" s="87">
        <f t="shared" si="7"/>
        <v>0</v>
      </c>
      <c r="D17" s="88">
        <f t="shared" si="7"/>
        <v>20000</v>
      </c>
      <c r="E17" s="89">
        <f t="shared" si="7"/>
        <v>0</v>
      </c>
      <c r="F17" s="90">
        <f t="shared" si="7"/>
        <v>0</v>
      </c>
      <c r="G17" s="89">
        <f t="shared" si="7"/>
        <v>0</v>
      </c>
      <c r="H17" s="91" t="e">
        <f>AVERAGE(H8:H16)</f>
        <v>#DIV/0!</v>
      </c>
      <c r="I17" s="87" t="e">
        <f>AVERAGE(I8:I16)</f>
        <v>#DIV/0!</v>
      </c>
      <c r="J17" s="87" t="e">
        <f>AVERAGE(J8:J16)</f>
        <v>#DIV/0!</v>
      </c>
      <c r="K17" s="92" t="e">
        <f>AVERAGE(K8:K16)</f>
        <v>#DIV/0!</v>
      </c>
      <c r="L17" s="93" t="e">
        <f>AVERAGE(L8:L16)</f>
        <v>#DIV/0!</v>
      </c>
    </row>
    <row r="18" spans="1:12" ht="13.5">
      <c r="A18" s="52"/>
      <c r="J18" s="94"/>
      <c r="K18" s="95" t="s">
        <v>20</v>
      </c>
      <c r="L18" s="95" t="s">
        <v>21</v>
      </c>
    </row>
    <row r="19" ht="13.5">
      <c r="A19" s="52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SheetLayoutView="100" zoomScalePageLayoutView="0" workbookViewId="0" topLeftCell="F1">
      <pane ySplit="1" topLeftCell="A2" activePane="bottomLeft" state="frozen"/>
      <selection pane="topLeft" activeCell="A1" sqref="A1"/>
      <selection pane="bottomLeft" activeCell="F24" sqref="F24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8" width="13.125" style="0" customWidth="1"/>
    <col min="9" max="9" width="11.25390625" style="0" customWidth="1"/>
    <col min="10" max="10" width="15.875" style="0" customWidth="1"/>
    <col min="11" max="11" width="10.00390625" style="0" customWidth="1"/>
    <col min="12" max="12" width="18.375" style="0" customWidth="1"/>
    <col min="13" max="13" width="9.00390625" style="0" customWidth="1"/>
    <col min="14" max="15" width="10.00390625" style="0" customWidth="1"/>
    <col min="16" max="16" width="17.50390625" style="0" customWidth="1"/>
    <col min="17" max="17" width="8.125" style="0" customWidth="1"/>
    <col min="18" max="18" width="8.625" style="0" customWidth="1"/>
    <col min="19" max="19" width="10.875" style="0" customWidth="1"/>
    <col min="20" max="20" width="8.375" style="0" customWidth="1"/>
    <col min="21" max="21" width="8.25390625" style="0" customWidth="1"/>
  </cols>
  <sheetData>
    <row r="1" spans="1:21" ht="14.25" thickBot="1">
      <c r="A1" s="39" t="s">
        <v>22</v>
      </c>
      <c r="B1" s="40" t="s">
        <v>79</v>
      </c>
      <c r="C1" s="40" t="s">
        <v>78</v>
      </c>
      <c r="D1" s="40" t="s">
        <v>23</v>
      </c>
      <c r="E1" s="40" t="s">
        <v>24</v>
      </c>
      <c r="F1" s="40" t="s">
        <v>25</v>
      </c>
      <c r="G1" s="40" t="s">
        <v>26</v>
      </c>
      <c r="H1" s="40" t="s">
        <v>80</v>
      </c>
      <c r="I1" s="40" t="s">
        <v>27</v>
      </c>
      <c r="J1" s="40" t="s">
        <v>28</v>
      </c>
      <c r="K1" s="40"/>
      <c r="L1" s="40" t="s">
        <v>30</v>
      </c>
      <c r="M1" s="40" t="s">
        <v>31</v>
      </c>
      <c r="N1" s="40" t="s">
        <v>32</v>
      </c>
      <c r="O1" s="124" t="s">
        <v>33</v>
      </c>
      <c r="P1" s="41" t="s">
        <v>34</v>
      </c>
      <c r="T1" t="s">
        <v>73</v>
      </c>
      <c r="U1" t="s">
        <v>73</v>
      </c>
    </row>
    <row r="2" spans="1:21" ht="13.5" customHeight="1">
      <c r="A2" t="s">
        <v>95</v>
      </c>
      <c r="B2">
        <f aca="true" t="shared" si="0" ref="B2:B9">IF(G2&gt;H2,1,-1)</f>
        <v>1</v>
      </c>
      <c r="C2">
        <f>INT(10/(G2-H2)*B2/T2)/10</f>
        <v>0.9</v>
      </c>
      <c r="D2" t="s">
        <v>97</v>
      </c>
      <c r="E2" t="s">
        <v>96</v>
      </c>
      <c r="F2" t="s">
        <v>100</v>
      </c>
      <c r="G2">
        <v>1.1287</v>
      </c>
      <c r="H2">
        <v>1.1172</v>
      </c>
      <c r="I2" t="s">
        <v>96</v>
      </c>
      <c r="J2" t="s">
        <v>143</v>
      </c>
      <c r="K2">
        <v>1.1342</v>
      </c>
      <c r="L2" t="str">
        <f aca="true" t="shared" si="1" ref="L2:L9">IF(K2=G2,"建値",IF(K2=H2,"ロスカット",IF(B2&gt;0,"ストップ切上げ","ストップ切下げ")))</f>
        <v>ストップ切上げ</v>
      </c>
      <c r="M2">
        <f aca="true" t="shared" si="2" ref="M2:M9">IF(P2&gt;0,1,IF(P2&lt;0,-1,0))</f>
        <v>1</v>
      </c>
      <c r="N2">
        <f>IF((K2-G2)*B2&gt;0,(K2-G2)*B2*10000,0)</f>
        <v>55.000000000000604</v>
      </c>
      <c r="O2">
        <f>IF((K2-G2)*B2&lt;0,(G2-K2)*B2*10000,0)</f>
        <v>0</v>
      </c>
      <c r="P2">
        <f>INT((K2-G2)*C2*B2*U2*10000)</f>
        <v>4729</v>
      </c>
      <c r="Q2">
        <f aca="true" t="shared" si="3" ref="Q2:Q9">IF(P2&gt;0,P2,0)</f>
        <v>4729</v>
      </c>
      <c r="R2">
        <f aca="true" t="shared" si="4" ref="R2:R9">IF(P2&lt;0,P2,0)</f>
        <v>0</v>
      </c>
      <c r="S2">
        <f>M2</f>
        <v>1</v>
      </c>
      <c r="T2">
        <v>95.26</v>
      </c>
      <c r="U2">
        <v>95.54</v>
      </c>
    </row>
    <row r="3" spans="1:19" ht="12" customHeight="1">
      <c r="A3" t="s">
        <v>73</v>
      </c>
      <c r="B3">
        <f t="shared" si="0"/>
        <v>-1</v>
      </c>
      <c r="C3">
        <f>INT(10/(G3-H3)*B3)/10</f>
        <v>1.1</v>
      </c>
      <c r="D3" t="s">
        <v>97</v>
      </c>
      <c r="E3" t="s">
        <v>96</v>
      </c>
      <c r="F3" t="s">
        <v>101</v>
      </c>
      <c r="G3">
        <v>119.66</v>
      </c>
      <c r="H3">
        <v>120.54</v>
      </c>
      <c r="I3" t="s">
        <v>96</v>
      </c>
      <c r="J3" t="s">
        <v>123</v>
      </c>
      <c r="K3">
        <v>119.66</v>
      </c>
      <c r="L3" t="str">
        <f t="shared" si="1"/>
        <v>建値</v>
      </c>
      <c r="M3">
        <f t="shared" si="2"/>
        <v>0</v>
      </c>
      <c r="N3">
        <f>IF((K3-G3)*B3&gt;0,(K3-G3)*B3*100,0)</f>
        <v>0</v>
      </c>
      <c r="O3">
        <f>IF((K3-G3)*B3&lt;0,(G3-K3)*B3*100,0)</f>
        <v>0</v>
      </c>
      <c r="P3">
        <f>(K3-G3)*C3*B3*10000</f>
        <v>0</v>
      </c>
      <c r="Q3">
        <f t="shared" si="3"/>
        <v>0</v>
      </c>
      <c r="R3">
        <f t="shared" si="4"/>
        <v>0</v>
      </c>
      <c r="S3">
        <f>IF(M3=S2,S2+M3,M3)</f>
        <v>0</v>
      </c>
    </row>
    <row r="4" spans="1:19" ht="12" customHeight="1">
      <c r="A4" t="s">
        <v>73</v>
      </c>
      <c r="B4">
        <f t="shared" si="0"/>
        <v>-1</v>
      </c>
      <c r="C4">
        <f>INT(10/(G4-H4)*B4)/10</f>
        <v>3.8</v>
      </c>
      <c r="D4" t="s">
        <v>81</v>
      </c>
      <c r="E4" t="s">
        <v>94</v>
      </c>
      <c r="F4" t="s">
        <v>98</v>
      </c>
      <c r="G4">
        <v>119.88</v>
      </c>
      <c r="H4">
        <v>120.14</v>
      </c>
      <c r="I4" t="s">
        <v>94</v>
      </c>
      <c r="J4" t="s">
        <v>103</v>
      </c>
      <c r="K4">
        <v>119.88</v>
      </c>
      <c r="L4" t="str">
        <f t="shared" si="1"/>
        <v>建値</v>
      </c>
      <c r="M4">
        <f t="shared" si="2"/>
        <v>0</v>
      </c>
      <c r="N4">
        <f>IF((K4-G4)*B4&gt;0,(K4-G4)*B4*100,0)</f>
        <v>0</v>
      </c>
      <c r="O4">
        <f>IF((K4-G4)*B4&lt;0,(G4-K4)*B4*100,0)</f>
        <v>0</v>
      </c>
      <c r="P4">
        <f>(K4-G4)*C4*B4*10000</f>
        <v>0</v>
      </c>
      <c r="Q4">
        <f t="shared" si="3"/>
        <v>0</v>
      </c>
      <c r="R4">
        <f t="shared" si="4"/>
        <v>0</v>
      </c>
      <c r="S4">
        <f aca="true" t="shared" si="5" ref="S4:S20">IF(M4=S3,S3+M4,M4)</f>
        <v>0</v>
      </c>
    </row>
    <row r="5" spans="1:19" ht="12" customHeight="1">
      <c r="A5" t="s">
        <v>73</v>
      </c>
      <c r="B5">
        <f t="shared" si="0"/>
        <v>-1</v>
      </c>
      <c r="C5">
        <f>INT(10/(G5-H5)*B5)/10</f>
        <v>3</v>
      </c>
      <c r="D5" t="s">
        <v>81</v>
      </c>
      <c r="E5" t="s">
        <v>77</v>
      </c>
      <c r="F5" t="s">
        <v>105</v>
      </c>
      <c r="G5">
        <v>119.81</v>
      </c>
      <c r="H5">
        <v>120.14</v>
      </c>
      <c r="I5" t="s">
        <v>77</v>
      </c>
      <c r="J5" t="s">
        <v>107</v>
      </c>
      <c r="K5">
        <v>120.14</v>
      </c>
      <c r="L5" t="str">
        <f t="shared" si="1"/>
        <v>ロスカット</v>
      </c>
      <c r="M5">
        <f t="shared" si="2"/>
        <v>-1</v>
      </c>
      <c r="N5">
        <f>IF((K5-G5)*B5&gt;0,(K5-G5)*B5*100,0)</f>
        <v>0</v>
      </c>
      <c r="O5">
        <f>IF((K5-G5)*B5&lt;0,(G5-K5)*B5*100,0)</f>
        <v>32.99999999999983</v>
      </c>
      <c r="P5">
        <f>(K5-G5)*C5*B5*10000</f>
        <v>-9899.999999999949</v>
      </c>
      <c r="Q5">
        <f t="shared" si="3"/>
        <v>0</v>
      </c>
      <c r="R5">
        <f t="shared" si="4"/>
        <v>-9899.999999999949</v>
      </c>
      <c r="S5">
        <f t="shared" si="5"/>
        <v>-1</v>
      </c>
    </row>
    <row r="6" spans="1:21" ht="12.75" customHeight="1">
      <c r="A6" t="s">
        <v>95</v>
      </c>
      <c r="B6">
        <f t="shared" si="0"/>
        <v>1</v>
      </c>
      <c r="C6">
        <f>INT(10/(G6-H6)*B6/T6)/10</f>
        <v>1.1</v>
      </c>
      <c r="D6" t="s">
        <v>81</v>
      </c>
      <c r="E6" t="s">
        <v>77</v>
      </c>
      <c r="F6" t="s">
        <v>99</v>
      </c>
      <c r="G6">
        <v>1.1276</v>
      </c>
      <c r="H6">
        <v>1.1209</v>
      </c>
      <c r="I6" t="s">
        <v>77</v>
      </c>
      <c r="J6" t="s">
        <v>111</v>
      </c>
      <c r="K6">
        <v>1.1349</v>
      </c>
      <c r="L6" t="str">
        <f t="shared" si="1"/>
        <v>ストップ切上げ</v>
      </c>
      <c r="M6">
        <f t="shared" si="2"/>
        <v>1</v>
      </c>
      <c r="N6">
        <f>IF((K6-G6)*B6&gt;0,(K6-G6)*B6*10000,0)</f>
        <v>73.00000000000084</v>
      </c>
      <c r="O6">
        <f>IF((K6-G6)*B6&lt;0,(G6-K6)*B6*10000,0)</f>
        <v>0</v>
      </c>
      <c r="P6">
        <f>INT((K6-G6)*C6*B6*U6*10000)</f>
        <v>9934</v>
      </c>
      <c r="Q6">
        <f t="shared" si="3"/>
        <v>9934</v>
      </c>
      <c r="R6">
        <f t="shared" si="4"/>
        <v>0</v>
      </c>
      <c r="S6">
        <f t="shared" si="5"/>
        <v>1</v>
      </c>
      <c r="T6">
        <v>124.43</v>
      </c>
      <c r="U6">
        <v>123.72</v>
      </c>
    </row>
    <row r="7" spans="1:21" ht="12.75" customHeight="1">
      <c r="A7" t="s">
        <v>95</v>
      </c>
      <c r="B7">
        <f t="shared" si="0"/>
        <v>1</v>
      </c>
      <c r="C7">
        <f>INT(10/(G7-H7)*B7/T7)/10</f>
        <v>3.3</v>
      </c>
      <c r="D7" t="s">
        <v>81</v>
      </c>
      <c r="E7" t="s">
        <v>94</v>
      </c>
      <c r="F7" t="s">
        <v>99</v>
      </c>
      <c r="G7">
        <v>1.1269</v>
      </c>
      <c r="H7">
        <v>1.1245</v>
      </c>
      <c r="I7" t="s">
        <v>94</v>
      </c>
      <c r="J7" t="s">
        <v>102</v>
      </c>
      <c r="K7">
        <v>1.1269</v>
      </c>
      <c r="L7" t="str">
        <f t="shared" si="1"/>
        <v>建値</v>
      </c>
      <c r="M7">
        <f t="shared" si="2"/>
        <v>0</v>
      </c>
      <c r="N7">
        <f>IF((K7-G7)*B7&gt;0,(K7-G7)*B7*10000,0)</f>
        <v>0</v>
      </c>
      <c r="O7">
        <f>IF((K7-G7)*B7&lt;0,(G7-K7)*B7*10000,0)</f>
        <v>0</v>
      </c>
      <c r="P7">
        <f>INT((K7-G7)*C7*B7*U7*10000)</f>
        <v>0</v>
      </c>
      <c r="Q7">
        <f t="shared" si="3"/>
        <v>0</v>
      </c>
      <c r="R7">
        <f t="shared" si="4"/>
        <v>0</v>
      </c>
      <c r="S7">
        <f t="shared" si="5"/>
        <v>0</v>
      </c>
      <c r="T7">
        <v>124.43</v>
      </c>
      <c r="U7">
        <v>123.72</v>
      </c>
    </row>
    <row r="8" spans="1:21" ht="12.75" customHeight="1">
      <c r="A8" t="s">
        <v>95</v>
      </c>
      <c r="B8">
        <f t="shared" si="0"/>
        <v>1</v>
      </c>
      <c r="C8">
        <f>INT(10/(G8-H8)*B8/T8)/10</f>
        <v>2</v>
      </c>
      <c r="D8" t="s">
        <v>81</v>
      </c>
      <c r="E8" t="s">
        <v>94</v>
      </c>
      <c r="F8" t="s">
        <v>104</v>
      </c>
      <c r="G8">
        <v>1.1281</v>
      </c>
      <c r="H8">
        <v>1.1242</v>
      </c>
      <c r="I8" t="s">
        <v>94</v>
      </c>
      <c r="J8" t="s">
        <v>106</v>
      </c>
      <c r="K8">
        <v>1.1281</v>
      </c>
      <c r="L8" t="str">
        <f t="shared" si="1"/>
        <v>建値</v>
      </c>
      <c r="M8">
        <f t="shared" si="2"/>
        <v>0</v>
      </c>
      <c r="N8">
        <f>IF((K8-G8)*B8&gt;0,(K8-G8)*B8*10000,0)</f>
        <v>0</v>
      </c>
      <c r="O8">
        <f>IF((K8-G8)*B8&lt;0,(G8-K8)*B8*10000,0)</f>
        <v>0</v>
      </c>
      <c r="P8">
        <f>INT((K8-G8)*C8*B8*U8*10000)</f>
        <v>0</v>
      </c>
      <c r="Q8">
        <f t="shared" si="3"/>
        <v>0</v>
      </c>
      <c r="R8">
        <f t="shared" si="4"/>
        <v>0</v>
      </c>
      <c r="S8">
        <f t="shared" si="5"/>
        <v>0</v>
      </c>
      <c r="T8">
        <v>124.43</v>
      </c>
      <c r="U8">
        <v>123.72</v>
      </c>
    </row>
    <row r="9" spans="1:19" ht="12" customHeight="1">
      <c r="A9" t="s">
        <v>73</v>
      </c>
      <c r="B9">
        <f t="shared" si="0"/>
        <v>1</v>
      </c>
      <c r="C9">
        <f>INT(10/(G9-H9)*B9)/10</f>
        <v>4.7</v>
      </c>
      <c r="D9" t="s">
        <v>81</v>
      </c>
      <c r="E9" t="s">
        <v>94</v>
      </c>
      <c r="F9" t="s">
        <v>114</v>
      </c>
      <c r="G9">
        <v>120.02</v>
      </c>
      <c r="H9">
        <v>119.81</v>
      </c>
      <c r="I9" t="s">
        <v>94</v>
      </c>
      <c r="J9" t="s">
        <v>109</v>
      </c>
      <c r="K9">
        <v>120.02</v>
      </c>
      <c r="L9" t="str">
        <f t="shared" si="1"/>
        <v>建値</v>
      </c>
      <c r="M9">
        <f t="shared" si="2"/>
        <v>0</v>
      </c>
      <c r="N9">
        <f>IF((K9-G9)*B9&gt;0,(K9-G9)*B9*100,0)</f>
        <v>0</v>
      </c>
      <c r="O9">
        <f>IF((K9-G9)*B9&lt;0,(G9-K9)*B9*100,0)</f>
        <v>0</v>
      </c>
      <c r="P9">
        <f>(K9-G9)*C9*B9*10000</f>
        <v>0</v>
      </c>
      <c r="Q9">
        <f t="shared" si="3"/>
        <v>0</v>
      </c>
      <c r="R9">
        <f t="shared" si="4"/>
        <v>0</v>
      </c>
      <c r="S9">
        <f t="shared" si="5"/>
        <v>0</v>
      </c>
    </row>
    <row r="10" spans="1:21" ht="12.75" customHeight="1">
      <c r="A10" t="s">
        <v>95</v>
      </c>
      <c r="B10">
        <f aca="true" t="shared" si="6" ref="B10:B15">IF(G10&gt;H10,1,-1)</f>
        <v>1</v>
      </c>
      <c r="C10">
        <f>INT(10/(G10-H10)*B10/T10)/10</f>
        <v>2.7</v>
      </c>
      <c r="D10" t="s">
        <v>81</v>
      </c>
      <c r="E10" t="s">
        <v>94</v>
      </c>
      <c r="F10" t="s">
        <v>108</v>
      </c>
      <c r="G10">
        <v>1.1387</v>
      </c>
      <c r="H10">
        <v>1.1358</v>
      </c>
      <c r="I10" t="s">
        <v>94</v>
      </c>
      <c r="J10" t="s">
        <v>110</v>
      </c>
      <c r="K10">
        <v>1.1358</v>
      </c>
      <c r="L10" t="str">
        <f aca="true" t="shared" si="7" ref="L10:L15">IF(K10=G10,"建値",IF(K10=H10,"ロスカット",IF(B10&gt;0,"ストップ切上げ","ストップ切下げ")))</f>
        <v>ロスカット</v>
      </c>
      <c r="M10">
        <f aca="true" t="shared" si="8" ref="M10:M15">IF(P10&gt;0,1,IF(P10&lt;0,-1,0))</f>
        <v>-1</v>
      </c>
      <c r="N10">
        <f>IF((K10-G10)*B10&gt;0,(K10-G10)*B10*10000,0)</f>
        <v>0</v>
      </c>
      <c r="O10">
        <f>IF((K10-G10)*B10&lt;0,(G10-K10)*B10*10000,0)</f>
        <v>29.000000000001247</v>
      </c>
      <c r="P10">
        <f>INT((K10-G10)*C10*B10*U10*10000)</f>
        <v>-9688</v>
      </c>
      <c r="Q10">
        <f aca="true" t="shared" si="9" ref="Q10:Q16">IF(P10&gt;0,P10,0)</f>
        <v>0</v>
      </c>
      <c r="R10">
        <f aca="true" t="shared" si="10" ref="R10:R15">IF(P10&lt;0,P10,0)</f>
        <v>-9688</v>
      </c>
      <c r="S10">
        <f t="shared" si="5"/>
        <v>-1</v>
      </c>
      <c r="T10">
        <v>124.43</v>
      </c>
      <c r="U10">
        <v>123.72</v>
      </c>
    </row>
    <row r="11" spans="1:19" ht="12" customHeight="1">
      <c r="A11" t="s">
        <v>73</v>
      </c>
      <c r="B11">
        <f t="shared" si="6"/>
        <v>-1</v>
      </c>
      <c r="C11">
        <f>INT(10/(G11-H11)*B11)/10</f>
        <v>3.4</v>
      </c>
      <c r="D11" t="s">
        <v>115</v>
      </c>
      <c r="E11" t="s">
        <v>77</v>
      </c>
      <c r="F11" t="s">
        <v>113</v>
      </c>
      <c r="G11">
        <v>119.79</v>
      </c>
      <c r="H11">
        <v>120.08</v>
      </c>
      <c r="I11" t="s">
        <v>77</v>
      </c>
      <c r="J11" t="s">
        <v>121</v>
      </c>
      <c r="K11">
        <v>119.2</v>
      </c>
      <c r="L11" t="str">
        <f t="shared" si="7"/>
        <v>ストップ切下げ</v>
      </c>
      <c r="M11">
        <f t="shared" si="8"/>
        <v>1</v>
      </c>
      <c r="N11">
        <f>IF((K11-G11)*B11&gt;0,(K11-G11)*B11*100,0)</f>
        <v>59.00000000000034</v>
      </c>
      <c r="O11">
        <f>IF((K11-G11)*B11&lt;0,(G11-K11)*B11*100,0)</f>
        <v>0</v>
      </c>
      <c r="P11">
        <f>(K11-G11)*C11*B11*10000</f>
        <v>20060.000000000113</v>
      </c>
      <c r="Q11">
        <f t="shared" si="9"/>
        <v>20060.000000000113</v>
      </c>
      <c r="R11">
        <f t="shared" si="10"/>
        <v>0</v>
      </c>
      <c r="S11">
        <f t="shared" si="5"/>
        <v>1</v>
      </c>
    </row>
    <row r="12" spans="1:21" ht="12.75" customHeight="1">
      <c r="A12" t="s">
        <v>95</v>
      </c>
      <c r="B12">
        <f t="shared" si="6"/>
        <v>1</v>
      </c>
      <c r="C12">
        <f>INT(10/(G12-H12)*B12/T12)/10</f>
        <v>4.7</v>
      </c>
      <c r="D12" t="s">
        <v>97</v>
      </c>
      <c r="E12" t="s">
        <v>94</v>
      </c>
      <c r="F12" t="s">
        <v>112</v>
      </c>
      <c r="G12">
        <v>1.1373</v>
      </c>
      <c r="H12">
        <v>1.1356</v>
      </c>
      <c r="I12" t="s">
        <v>94</v>
      </c>
      <c r="J12" t="s">
        <v>116</v>
      </c>
      <c r="K12">
        <v>1.1356</v>
      </c>
      <c r="L12" t="str">
        <f t="shared" si="7"/>
        <v>ロスカット</v>
      </c>
      <c r="M12">
        <f t="shared" si="8"/>
        <v>-1</v>
      </c>
      <c r="N12">
        <f>IF((K12-G12)*B12&gt;0,(K12-G12)*B12*10000,0)</f>
        <v>0</v>
      </c>
      <c r="O12">
        <f>IF((K12-G12)*B12&lt;0,(G12-K12)*B12*10000,0)</f>
        <v>17.000000000000348</v>
      </c>
      <c r="P12">
        <f>INT((K12-G12)*C12*B12*U12*10000)</f>
        <v>-9886</v>
      </c>
      <c r="Q12">
        <f t="shared" si="9"/>
        <v>0</v>
      </c>
      <c r="R12">
        <f t="shared" si="10"/>
        <v>-9886</v>
      </c>
      <c r="S12">
        <f t="shared" si="5"/>
        <v>-1</v>
      </c>
      <c r="T12">
        <v>124.43</v>
      </c>
      <c r="U12">
        <v>123.72</v>
      </c>
    </row>
    <row r="13" spans="1:21" ht="12.75" customHeight="1">
      <c r="A13" t="s">
        <v>95</v>
      </c>
      <c r="B13">
        <f t="shared" si="6"/>
        <v>1</v>
      </c>
      <c r="C13">
        <f>INT(10/(G13-H13)*B13/T13)/10</f>
        <v>4</v>
      </c>
      <c r="D13" t="s">
        <v>97</v>
      </c>
      <c r="E13" t="s">
        <v>94</v>
      </c>
      <c r="F13" t="s">
        <v>117</v>
      </c>
      <c r="G13">
        <v>1.1399</v>
      </c>
      <c r="H13">
        <v>1.1379</v>
      </c>
      <c r="I13" t="s">
        <v>94</v>
      </c>
      <c r="J13" t="s">
        <v>120</v>
      </c>
      <c r="K13">
        <v>1.1459</v>
      </c>
      <c r="L13" t="str">
        <f t="shared" si="7"/>
        <v>ストップ切上げ</v>
      </c>
      <c r="M13">
        <f t="shared" si="8"/>
        <v>1</v>
      </c>
      <c r="N13">
        <f>IF((K13-G13)*B13&gt;0,(K13-G13)*B13*10000,0)</f>
        <v>60.00000000000006</v>
      </c>
      <c r="O13">
        <f>IF((K13-G13)*B13&lt;0,(G13-K13)*B13*10000,0)</f>
        <v>0</v>
      </c>
      <c r="P13">
        <f>INT((K13-G13)*C13*B13*U13*10000)</f>
        <v>29692</v>
      </c>
      <c r="Q13">
        <f t="shared" si="9"/>
        <v>29692</v>
      </c>
      <c r="R13">
        <f t="shared" si="10"/>
        <v>0</v>
      </c>
      <c r="S13">
        <f t="shared" si="5"/>
        <v>1</v>
      </c>
      <c r="T13">
        <v>124.43</v>
      </c>
      <c r="U13">
        <v>123.72</v>
      </c>
    </row>
    <row r="14" spans="1:19" ht="12" customHeight="1">
      <c r="A14" t="s">
        <v>73</v>
      </c>
      <c r="B14">
        <f t="shared" si="6"/>
        <v>-1</v>
      </c>
      <c r="C14">
        <f>INT(10/(G14-H14)*B14)/10</f>
        <v>3.8</v>
      </c>
      <c r="D14" t="s">
        <v>81</v>
      </c>
      <c r="E14" t="s">
        <v>94</v>
      </c>
      <c r="F14" t="s">
        <v>118</v>
      </c>
      <c r="G14">
        <v>119.47</v>
      </c>
      <c r="H14">
        <v>119.73</v>
      </c>
      <c r="I14" t="s">
        <v>94</v>
      </c>
      <c r="J14" t="s">
        <v>119</v>
      </c>
      <c r="K14">
        <v>118.51</v>
      </c>
      <c r="L14" t="str">
        <f t="shared" si="7"/>
        <v>ストップ切下げ</v>
      </c>
      <c r="M14">
        <f t="shared" si="8"/>
        <v>1</v>
      </c>
      <c r="N14">
        <f>IF((K14-G14)*B14&gt;0,(K14-G14)*B14*100,0)</f>
        <v>95.99999999999937</v>
      </c>
      <c r="O14">
        <f>IF((K14-G14)*B14&lt;0,(G14-K14)*B14*100,0)</f>
        <v>0</v>
      </c>
      <c r="P14">
        <f>(K14-G14)*C14*B14*10000</f>
        <v>36479.99999999976</v>
      </c>
      <c r="Q14">
        <f t="shared" si="9"/>
        <v>36479.99999999976</v>
      </c>
      <c r="R14">
        <f t="shared" si="10"/>
        <v>0</v>
      </c>
      <c r="S14">
        <f t="shared" si="5"/>
        <v>2</v>
      </c>
    </row>
    <row r="15" spans="1:21" ht="12.75" customHeight="1">
      <c r="A15" t="s">
        <v>95</v>
      </c>
      <c r="B15">
        <f t="shared" si="6"/>
        <v>1</v>
      </c>
      <c r="C15">
        <f>INT(10/(G15-H15)*B15/T15)/10</f>
        <v>3</v>
      </c>
      <c r="D15" t="s">
        <v>124</v>
      </c>
      <c r="E15" t="s">
        <v>94</v>
      </c>
      <c r="F15" t="s">
        <v>126</v>
      </c>
      <c r="G15">
        <v>1.1377</v>
      </c>
      <c r="H15">
        <v>1.135</v>
      </c>
      <c r="I15" t="s">
        <v>94</v>
      </c>
      <c r="J15" t="s">
        <v>125</v>
      </c>
      <c r="K15">
        <v>1.1358</v>
      </c>
      <c r="L15" t="str">
        <f t="shared" si="7"/>
        <v>ストップ切上げ</v>
      </c>
      <c r="M15">
        <f t="shared" si="8"/>
        <v>-1</v>
      </c>
      <c r="N15">
        <f>IF((K15-G15)*B15&gt;0,(K15-G15)*B15*10000,0)</f>
        <v>0</v>
      </c>
      <c r="O15">
        <f>IF((K15-G15)*B15&lt;0,(G15-K15)*B15*10000,0)</f>
        <v>19.000000000000128</v>
      </c>
      <c r="P15">
        <f>INT((K15-G15)*C15*B15*U15*10000)</f>
        <v>-6812</v>
      </c>
      <c r="Q15">
        <f t="shared" si="9"/>
        <v>0</v>
      </c>
      <c r="R15">
        <f t="shared" si="10"/>
        <v>-6812</v>
      </c>
      <c r="S15">
        <f t="shared" si="5"/>
        <v>-1</v>
      </c>
      <c r="T15">
        <v>119.5</v>
      </c>
      <c r="U15">
        <v>119.5</v>
      </c>
    </row>
    <row r="16" spans="1:21" ht="12.75" customHeight="1">
      <c r="A16" t="s">
        <v>95</v>
      </c>
      <c r="B16">
        <f aca="true" t="shared" si="11" ref="B16:B26">IF(G16&gt;H16,1,-1)</f>
        <v>-1</v>
      </c>
      <c r="C16">
        <f>INT(10/(G16-H16)*B16/T16)/10</f>
        <v>3.8</v>
      </c>
      <c r="D16" t="s">
        <v>124</v>
      </c>
      <c r="E16" t="s">
        <v>94</v>
      </c>
      <c r="F16" t="s">
        <v>125</v>
      </c>
      <c r="G16">
        <v>1.1358</v>
      </c>
      <c r="H16">
        <v>1.138</v>
      </c>
      <c r="I16" t="s">
        <v>94</v>
      </c>
      <c r="J16" t="s">
        <v>128</v>
      </c>
      <c r="K16">
        <v>1.1346</v>
      </c>
      <c r="L16" t="str">
        <f aca="true" t="shared" si="12" ref="L16:L26">IF(K16=G16,"建値",IF(K16=H16,"ロスカット",IF(B16&gt;0,"ストップ切上げ","ストップ切下げ")))</f>
        <v>ストップ切下げ</v>
      </c>
      <c r="M16">
        <f aca="true" t="shared" si="13" ref="M16:M26">IF(P16&gt;0,1,IF(P16&lt;0,-1,0))</f>
        <v>1</v>
      </c>
      <c r="N16">
        <f>IF((K16-G16)*B16&gt;0,(K16-G16)*B16*10000,0)</f>
        <v>11.999999999998678</v>
      </c>
      <c r="O16">
        <f>IF((K16-G16)*B16&lt;0,(G16-K16)*B16*10000,0)</f>
        <v>0</v>
      </c>
      <c r="P16">
        <f>INT((K16-G16)*C16*B16*U16*10000)</f>
        <v>5449</v>
      </c>
      <c r="Q16">
        <f t="shared" si="9"/>
        <v>5449</v>
      </c>
      <c r="R16">
        <f aca="true" t="shared" si="14" ref="R16:R26">IF(P16&lt;0,P16,0)</f>
        <v>0</v>
      </c>
      <c r="S16">
        <f t="shared" si="5"/>
        <v>1</v>
      </c>
      <c r="T16">
        <v>119.5</v>
      </c>
      <c r="U16">
        <v>119.5</v>
      </c>
    </row>
    <row r="17" spans="1:19" ht="12" customHeight="1">
      <c r="A17" t="s">
        <v>73</v>
      </c>
      <c r="B17">
        <f t="shared" si="11"/>
        <v>1</v>
      </c>
      <c r="C17">
        <f>INT(10/(G17-H17)*B17)/10</f>
        <v>4.3</v>
      </c>
      <c r="D17" t="s">
        <v>81</v>
      </c>
      <c r="E17" t="s">
        <v>94</v>
      </c>
      <c r="F17" t="s">
        <v>127</v>
      </c>
      <c r="G17">
        <v>119.47</v>
      </c>
      <c r="H17">
        <v>119.24</v>
      </c>
      <c r="I17" t="s">
        <v>94</v>
      </c>
      <c r="J17" t="s">
        <v>133</v>
      </c>
      <c r="K17">
        <v>119.81</v>
      </c>
      <c r="L17" t="str">
        <f t="shared" si="12"/>
        <v>ストップ切上げ</v>
      </c>
      <c r="M17">
        <f t="shared" si="13"/>
        <v>1</v>
      </c>
      <c r="N17">
        <f>IF((K17-G17)*B17&gt;0,(K17-G17)*B17*100,0)</f>
        <v>34.00000000000034</v>
      </c>
      <c r="O17">
        <f>IF((K17-G17)*B17&lt;0,(G17-K17)*B17*100,0)</f>
        <v>0</v>
      </c>
      <c r="P17">
        <f>(K17-G17)*C17*B17*10000</f>
        <v>14620.000000000146</v>
      </c>
      <c r="Q17">
        <f aca="true" t="shared" si="15" ref="Q17:Q26">IF(P17&gt;0,P17,0)</f>
        <v>14620.000000000146</v>
      </c>
      <c r="R17">
        <f t="shared" si="14"/>
        <v>0</v>
      </c>
      <c r="S17">
        <f t="shared" si="5"/>
        <v>2</v>
      </c>
    </row>
    <row r="18" spans="1:19" ht="12" customHeight="1">
      <c r="A18" t="s">
        <v>73</v>
      </c>
      <c r="B18">
        <f t="shared" si="11"/>
        <v>1</v>
      </c>
      <c r="C18">
        <f>INT(10/(G18-H18)*B18)/10</f>
        <v>0.5</v>
      </c>
      <c r="D18" t="s">
        <v>131</v>
      </c>
      <c r="E18" t="s">
        <v>96</v>
      </c>
      <c r="F18" t="s">
        <v>130</v>
      </c>
      <c r="G18">
        <v>119.98</v>
      </c>
      <c r="H18">
        <v>118.04</v>
      </c>
      <c r="I18" t="s">
        <v>96</v>
      </c>
      <c r="J18" t="s">
        <v>122</v>
      </c>
      <c r="K18">
        <v>120.53</v>
      </c>
      <c r="L18" t="str">
        <f t="shared" si="12"/>
        <v>ストップ切上げ</v>
      </c>
      <c r="M18">
        <f t="shared" si="13"/>
        <v>1</v>
      </c>
      <c r="N18">
        <f>IF((K18-G18)*B18&gt;0,(K18-G18)*B18*100,0)</f>
        <v>54.999999999999716</v>
      </c>
      <c r="O18">
        <f>IF((K18-G18)*B18&lt;0,(G18-K18)*B18*100,0)</f>
        <v>0</v>
      </c>
      <c r="P18">
        <f>(K18-G18)*C18*B18*10000</f>
        <v>2749.999999999986</v>
      </c>
      <c r="Q18">
        <f t="shared" si="15"/>
        <v>2749.999999999986</v>
      </c>
      <c r="R18">
        <f t="shared" si="14"/>
        <v>0</v>
      </c>
      <c r="S18">
        <f t="shared" si="5"/>
        <v>1</v>
      </c>
    </row>
    <row r="19" spans="1:21" ht="12.75" customHeight="1">
      <c r="A19" t="s">
        <v>95</v>
      </c>
      <c r="B19">
        <f t="shared" si="11"/>
        <v>-1</v>
      </c>
      <c r="C19">
        <f>INT(10/(G19-H19)*B19/T19)/10</f>
        <v>3</v>
      </c>
      <c r="D19" t="s">
        <v>129</v>
      </c>
      <c r="E19" t="s">
        <v>94</v>
      </c>
      <c r="F19" t="s">
        <v>132</v>
      </c>
      <c r="G19">
        <v>1.1339</v>
      </c>
      <c r="H19">
        <v>1.1366</v>
      </c>
      <c r="I19" t="s">
        <v>94</v>
      </c>
      <c r="J19" t="s">
        <v>135</v>
      </c>
      <c r="K19">
        <v>1.1115</v>
      </c>
      <c r="L19" t="str">
        <f t="shared" si="12"/>
        <v>ストップ切下げ</v>
      </c>
      <c r="M19">
        <f t="shared" si="13"/>
        <v>1</v>
      </c>
      <c r="N19">
        <f>IF((K19-G19)*B19&gt;0,(K19-G19)*B19*10000,0)</f>
        <v>223.99999999999974</v>
      </c>
      <c r="O19">
        <f>IF((K19-G19)*B19&lt;0,(G19-K19)*B19*10000,0)</f>
        <v>0</v>
      </c>
      <c r="P19">
        <f>INT((K19-G19)*C19*B19*U19*10000)</f>
        <v>80303</v>
      </c>
      <c r="Q19">
        <f t="shared" si="15"/>
        <v>80303</v>
      </c>
      <c r="R19">
        <f t="shared" si="14"/>
        <v>0</v>
      </c>
      <c r="S19">
        <f t="shared" si="5"/>
        <v>2</v>
      </c>
      <c r="T19">
        <v>119.5</v>
      </c>
      <c r="U19">
        <v>119.5</v>
      </c>
    </row>
    <row r="20" spans="1:21" ht="12.75" customHeight="1">
      <c r="A20" t="s">
        <v>95</v>
      </c>
      <c r="B20">
        <f t="shared" si="11"/>
        <v>-1</v>
      </c>
      <c r="C20">
        <f>INT(10/(G20-H20)*B20/T20)/10</f>
        <v>1.7</v>
      </c>
      <c r="D20" t="s">
        <v>81</v>
      </c>
      <c r="E20" t="s">
        <v>77</v>
      </c>
      <c r="F20" t="s">
        <v>134</v>
      </c>
      <c r="G20">
        <v>1.1332</v>
      </c>
      <c r="H20">
        <v>1.1379</v>
      </c>
      <c r="I20" t="s">
        <v>77</v>
      </c>
      <c r="J20" t="s">
        <v>136</v>
      </c>
      <c r="K20">
        <v>1.1115</v>
      </c>
      <c r="L20" t="str">
        <f t="shared" si="12"/>
        <v>ストップ切下げ</v>
      </c>
      <c r="M20">
        <f t="shared" si="13"/>
        <v>1</v>
      </c>
      <c r="N20">
        <f>IF((K20-G20)*B20&gt;0,(K20-G20)*B20*10000,0)</f>
        <v>217.0000000000005</v>
      </c>
      <c r="O20">
        <f>IF((K20-G20)*B20&lt;0,(G20-K20)*B20*10000,0)</f>
        <v>0</v>
      </c>
      <c r="P20">
        <f>INT((K20-G20)*C20*B20*U20*10000)</f>
        <v>45640</v>
      </c>
      <c r="Q20">
        <f t="shared" si="15"/>
        <v>45640</v>
      </c>
      <c r="R20">
        <f t="shared" si="14"/>
        <v>0</v>
      </c>
      <c r="S20">
        <f t="shared" si="5"/>
        <v>1</v>
      </c>
      <c r="T20">
        <v>124.43</v>
      </c>
      <c r="U20">
        <v>123.72</v>
      </c>
    </row>
    <row r="21" spans="1:21" ht="12.75" customHeight="1">
      <c r="A21" t="s">
        <v>95</v>
      </c>
      <c r="B21">
        <f t="shared" si="11"/>
        <v>1</v>
      </c>
      <c r="C21">
        <f>INT(10/(G21-H21)*B21/T21)/10</f>
        <v>2.1</v>
      </c>
      <c r="D21" t="s">
        <v>97</v>
      </c>
      <c r="E21" t="s">
        <v>94</v>
      </c>
      <c r="F21" t="s">
        <v>137</v>
      </c>
      <c r="G21">
        <v>1.1139</v>
      </c>
      <c r="H21">
        <v>1.1101</v>
      </c>
      <c r="I21" t="s">
        <v>94</v>
      </c>
      <c r="J21" t="s">
        <v>138</v>
      </c>
      <c r="K21">
        <v>1.1101</v>
      </c>
      <c r="L21" t="str">
        <f t="shared" si="12"/>
        <v>ロスカット</v>
      </c>
      <c r="M21">
        <f t="shared" si="13"/>
        <v>-1</v>
      </c>
      <c r="N21">
        <f>IF((K21-G21)*B21&gt;0,(K21-G21)*B21*10000,0)</f>
        <v>0</v>
      </c>
      <c r="O21">
        <f>IF((K21-G21)*B21&lt;0,(G21-K21)*B21*10000,0)</f>
        <v>37.99999999999804</v>
      </c>
      <c r="P21">
        <f>INT((K21-G21)*C21*B21*U21*10000)</f>
        <v>-9606</v>
      </c>
      <c r="Q21">
        <f t="shared" si="15"/>
        <v>0</v>
      </c>
      <c r="R21">
        <f t="shared" si="14"/>
        <v>-9606</v>
      </c>
      <c r="S21">
        <f>IF(M21=S19,S19+M21,M21)</f>
        <v>-1</v>
      </c>
      <c r="T21">
        <v>120.37</v>
      </c>
      <c r="U21">
        <v>120.37</v>
      </c>
    </row>
    <row r="22" spans="1:21" ht="12.75" customHeight="1">
      <c r="A22" t="s">
        <v>95</v>
      </c>
      <c r="B22">
        <f t="shared" si="11"/>
        <v>-1</v>
      </c>
      <c r="C22">
        <f>INT(10/(G22-H22)*B22/T22)/10</f>
        <v>1.5</v>
      </c>
      <c r="D22" t="s">
        <v>97</v>
      </c>
      <c r="E22" t="s">
        <v>94</v>
      </c>
      <c r="F22" t="s">
        <v>137</v>
      </c>
      <c r="G22">
        <v>1.1087</v>
      </c>
      <c r="H22">
        <v>1.1142</v>
      </c>
      <c r="I22" t="s">
        <v>94</v>
      </c>
      <c r="J22" t="s">
        <v>122</v>
      </c>
      <c r="K22">
        <v>1.1087</v>
      </c>
      <c r="L22" t="str">
        <f t="shared" si="12"/>
        <v>建値</v>
      </c>
      <c r="M22">
        <f t="shared" si="13"/>
        <v>0</v>
      </c>
      <c r="N22">
        <f>IF((K22-G22)*B22&gt;0,(K22-G22)*B22*10000,0)</f>
        <v>0</v>
      </c>
      <c r="O22">
        <f>IF((K22-G22)*B22&lt;0,(G22-K22)*B22*10000,0)</f>
        <v>0</v>
      </c>
      <c r="P22">
        <f>INT((K22-G22)*C22*B22*U22*10000)</f>
        <v>0</v>
      </c>
      <c r="Q22">
        <f t="shared" si="15"/>
        <v>0</v>
      </c>
      <c r="R22">
        <f t="shared" si="14"/>
        <v>0</v>
      </c>
      <c r="S22">
        <f>IF(M22=S20,S20+M22,M22)</f>
        <v>0</v>
      </c>
      <c r="T22">
        <v>120.37</v>
      </c>
      <c r="U22">
        <v>120.37</v>
      </c>
    </row>
    <row r="23" spans="1:19" ht="12" customHeight="1">
      <c r="A23" t="s">
        <v>73</v>
      </c>
      <c r="B23">
        <f t="shared" si="11"/>
        <v>1</v>
      </c>
      <c r="C23">
        <f>INT(10/(G23-H23)*B23)/10</f>
        <v>0.6</v>
      </c>
      <c r="D23" t="s">
        <v>140</v>
      </c>
      <c r="E23" t="s">
        <v>96</v>
      </c>
      <c r="F23" t="s">
        <v>144</v>
      </c>
      <c r="G23">
        <v>121</v>
      </c>
      <c r="H23">
        <v>119.57</v>
      </c>
      <c r="I23" t="s">
        <v>96</v>
      </c>
      <c r="J23" t="s">
        <v>122</v>
      </c>
      <c r="K23">
        <v>121</v>
      </c>
      <c r="L23" t="str">
        <f t="shared" si="12"/>
        <v>建値</v>
      </c>
      <c r="M23">
        <f t="shared" si="13"/>
        <v>0</v>
      </c>
      <c r="N23">
        <f>IF((K23-G23)*B23&gt;0,(K23-G23)*B23*100,0)</f>
        <v>0</v>
      </c>
      <c r="O23">
        <f>IF((K23-G23)*B23&lt;0,(G23-K23)*B23*100,0)</f>
        <v>0</v>
      </c>
      <c r="P23">
        <f>(K23-G23)*C23*B23*10000</f>
        <v>0</v>
      </c>
      <c r="Q23">
        <f t="shared" si="15"/>
        <v>0</v>
      </c>
      <c r="R23">
        <f t="shared" si="14"/>
        <v>0</v>
      </c>
      <c r="S23">
        <f>IF(M23=S22,S22+M23,M23)</f>
        <v>0</v>
      </c>
    </row>
    <row r="24" spans="1:19" ht="12" customHeight="1">
      <c r="A24" t="s">
        <v>73</v>
      </c>
      <c r="B24">
        <f t="shared" si="11"/>
        <v>1</v>
      </c>
      <c r="C24">
        <f>INT(10/(G24-H24)*B24)/10</f>
        <v>1.8</v>
      </c>
      <c r="D24" t="s">
        <v>97</v>
      </c>
      <c r="E24" t="s">
        <v>77</v>
      </c>
      <c r="F24" t="s">
        <v>141</v>
      </c>
      <c r="G24">
        <v>120.81</v>
      </c>
      <c r="H24">
        <v>120.27</v>
      </c>
      <c r="I24" t="s">
        <v>77</v>
      </c>
      <c r="J24" t="s">
        <v>122</v>
      </c>
      <c r="K24">
        <v>120.81</v>
      </c>
      <c r="L24" t="str">
        <f t="shared" si="12"/>
        <v>建値</v>
      </c>
      <c r="M24">
        <f t="shared" si="13"/>
        <v>0</v>
      </c>
      <c r="N24">
        <f>IF((K24-G24)*B24&gt;0,(K24-G24)*B24*100,0)</f>
        <v>0</v>
      </c>
      <c r="O24">
        <f>IF((K24-G24)*B24&lt;0,(G24-K24)*B24*100,0)</f>
        <v>0</v>
      </c>
      <c r="P24">
        <f>(K24-G24)*C24*B24*10000</f>
        <v>0</v>
      </c>
      <c r="Q24">
        <f t="shared" si="15"/>
        <v>0</v>
      </c>
      <c r="R24">
        <f t="shared" si="14"/>
        <v>0</v>
      </c>
      <c r="S24">
        <f>IF(M24=S23,S23+M24,M24)</f>
        <v>0</v>
      </c>
    </row>
    <row r="25" spans="1:19" ht="12" customHeight="1">
      <c r="A25" t="s">
        <v>73</v>
      </c>
      <c r="B25">
        <f t="shared" si="11"/>
        <v>1</v>
      </c>
      <c r="C25">
        <f>INT(10/(G25-H25)*B25)/10</f>
        <v>2.4</v>
      </c>
      <c r="D25" t="s">
        <v>97</v>
      </c>
      <c r="E25" t="s">
        <v>94</v>
      </c>
      <c r="F25" t="s">
        <v>139</v>
      </c>
      <c r="G25">
        <v>120.81</v>
      </c>
      <c r="H25">
        <v>120.41</v>
      </c>
      <c r="I25" t="s">
        <v>94</v>
      </c>
      <c r="J25" t="s">
        <v>122</v>
      </c>
      <c r="K25">
        <v>120.81</v>
      </c>
      <c r="L25" t="str">
        <f t="shared" si="12"/>
        <v>建値</v>
      </c>
      <c r="M25">
        <f t="shared" si="13"/>
        <v>0</v>
      </c>
      <c r="N25">
        <f>IF((K25-G25)*B25&gt;0,(K25-G25)*B25*100,0)</f>
        <v>0</v>
      </c>
      <c r="O25">
        <f>IF((K25-G25)*B25&lt;0,(G25-K25)*B25*100,0)</f>
        <v>0</v>
      </c>
      <c r="P25">
        <f>(K25-G25)*C25*B25*10000</f>
        <v>0</v>
      </c>
      <c r="Q25">
        <f t="shared" si="15"/>
        <v>0</v>
      </c>
      <c r="R25">
        <f t="shared" si="14"/>
        <v>0</v>
      </c>
      <c r="S25">
        <f>IF(M25=S24,S24+M25,M25)</f>
        <v>0</v>
      </c>
    </row>
    <row r="26" spans="1:21" ht="13.5" customHeight="1">
      <c r="A26" t="s">
        <v>95</v>
      </c>
      <c r="B26">
        <f t="shared" si="11"/>
        <v>-1</v>
      </c>
      <c r="C26">
        <f>INT(10/(G26-H26)*B26/T26)/10</f>
        <v>0.3</v>
      </c>
      <c r="D26" t="s">
        <v>97</v>
      </c>
      <c r="E26" t="s">
        <v>96</v>
      </c>
      <c r="F26" t="s">
        <v>142</v>
      </c>
      <c r="G26">
        <v>1.107</v>
      </c>
      <c r="H26">
        <v>1.1379</v>
      </c>
      <c r="I26" t="s">
        <v>96</v>
      </c>
      <c r="J26" t="s">
        <v>122</v>
      </c>
      <c r="K26">
        <v>1.107</v>
      </c>
      <c r="L26" t="str">
        <f t="shared" si="12"/>
        <v>建値</v>
      </c>
      <c r="M26">
        <f t="shared" si="13"/>
        <v>0</v>
      </c>
      <c r="N26">
        <f>IF((K26-G26)*B26&gt;0,(K26-G26)*B26*10000,0)</f>
        <v>0</v>
      </c>
      <c r="O26">
        <f>IF((K26-G26)*B26&lt;0,(G26-K26)*B26*10000,0)</f>
        <v>0</v>
      </c>
      <c r="P26">
        <f>INT((K26-G26)*C26*B26*U26*10000)</f>
        <v>0</v>
      </c>
      <c r="Q26">
        <f t="shared" si="15"/>
        <v>0</v>
      </c>
      <c r="R26">
        <f t="shared" si="14"/>
        <v>0</v>
      </c>
      <c r="S26">
        <f>M26</f>
        <v>0</v>
      </c>
      <c r="T26">
        <v>95.26</v>
      </c>
      <c r="U26">
        <v>95.54</v>
      </c>
    </row>
    <row r="27" spans="14:15" ht="13.5">
      <c r="N27" s="10"/>
      <c r="O27" s="10"/>
    </row>
    <row r="28" spans="1:18" ht="14.25" customHeight="1">
      <c r="A28" t="s">
        <v>84</v>
      </c>
      <c r="B28">
        <f>SUM(B2:B27)</f>
        <v>5</v>
      </c>
      <c r="L28" t="s">
        <v>87</v>
      </c>
      <c r="M28" s="42">
        <f>SUM(M2:M27)</f>
        <v>5</v>
      </c>
      <c r="N28" s="10">
        <f>INT(SUM(N2:N27))</f>
        <v>885</v>
      </c>
      <c r="O28" s="10">
        <f>INT(SUM(O2:O27))</f>
        <v>136</v>
      </c>
      <c r="P28">
        <f>SUM(P2:P27)</f>
        <v>203765.00000000006</v>
      </c>
      <c r="Q28">
        <f>SUM(Q2:Q27)</f>
        <v>249657</v>
      </c>
      <c r="R28">
        <f>SUM(R2:R27)</f>
        <v>-45891.99999999995</v>
      </c>
    </row>
    <row r="29" spans="1:15" ht="1.5" customHeight="1" hidden="1">
      <c r="A29" t="s">
        <v>85</v>
      </c>
      <c r="B29">
        <f>SUMSQ(B2:B27)</f>
        <v>25</v>
      </c>
      <c r="L29" t="s">
        <v>88</v>
      </c>
      <c r="M29">
        <f>SUMSQ(M2:M27)</f>
        <v>15</v>
      </c>
      <c r="N29" s="10"/>
      <c r="O29" s="10"/>
    </row>
    <row r="30" spans="1:15" ht="17.25" customHeight="1" hidden="1">
      <c r="A30" t="s">
        <v>86</v>
      </c>
      <c r="B30">
        <f>(B28+B29)/2</f>
        <v>15</v>
      </c>
      <c r="L30" t="s">
        <v>89</v>
      </c>
      <c r="M30">
        <f>(M29+M28)/2</f>
        <v>10</v>
      </c>
      <c r="N30" s="10"/>
      <c r="O30" s="10"/>
    </row>
    <row r="31" spans="1:13" ht="15.75" customHeight="1" hidden="1">
      <c r="A31" t="s">
        <v>74</v>
      </c>
      <c r="B31">
        <f>(B29-B28)/2</f>
        <v>10</v>
      </c>
      <c r="L31" t="s">
        <v>75</v>
      </c>
      <c r="M31">
        <f>(M29-M28)/2</f>
        <v>5</v>
      </c>
    </row>
    <row r="32" spans="12:15" ht="0.75" customHeight="1">
      <c r="L32" t="s">
        <v>76</v>
      </c>
      <c r="M32" s="11">
        <f>B29-M29</f>
        <v>10</v>
      </c>
      <c r="N32" s="12"/>
      <c r="O32" s="12"/>
    </row>
    <row r="34" ht="13.5" customHeight="1" thickBot="1"/>
    <row r="35" spans="3:10" ht="14.25" thickBot="1">
      <c r="C35" s="131" t="s">
        <v>36</v>
      </c>
      <c r="D35" s="132"/>
      <c r="F35" s="133" t="s">
        <v>37</v>
      </c>
      <c r="G35" s="134"/>
      <c r="H35" s="28"/>
      <c r="I35" s="28" t="s">
        <v>38</v>
      </c>
      <c r="J35" s="31" t="s">
        <v>39</v>
      </c>
    </row>
    <row r="36" spans="3:10" ht="13.5">
      <c r="C36" s="5" t="s">
        <v>40</v>
      </c>
      <c r="D36" s="6" t="str">
        <f>F2&amp;"～"&amp;F22</f>
        <v>2015.10.08 03:00 .～2015.10.23 05:00</v>
      </c>
      <c r="F36" s="5"/>
      <c r="G36" s="15"/>
      <c r="H36" s="21"/>
      <c r="I36" s="21"/>
      <c r="J36" s="24"/>
    </row>
    <row r="37" spans="3:10" ht="13.5">
      <c r="C37" s="2" t="s">
        <v>41</v>
      </c>
      <c r="D37" s="1">
        <f>B30</f>
        <v>15</v>
      </c>
      <c r="F37" s="2"/>
      <c r="G37" s="17"/>
      <c r="H37" s="22"/>
      <c r="I37" s="22"/>
      <c r="J37" s="18"/>
    </row>
    <row r="38" spans="3:10" ht="13.5">
      <c r="C38" s="2" t="s">
        <v>42</v>
      </c>
      <c r="D38" s="1">
        <f>B31</f>
        <v>10</v>
      </c>
      <c r="F38" s="2"/>
      <c r="G38" s="17"/>
      <c r="H38" s="22"/>
      <c r="I38" s="22"/>
      <c r="J38" s="18"/>
    </row>
    <row r="39" spans="3:10" ht="13.5">
      <c r="C39" s="2" t="s">
        <v>43</v>
      </c>
      <c r="D39" s="1">
        <f>B29</f>
        <v>25</v>
      </c>
      <c r="F39" s="2"/>
      <c r="G39" s="17"/>
      <c r="H39" s="22"/>
      <c r="I39" s="22"/>
      <c r="J39" s="18"/>
    </row>
    <row r="40" spans="3:10" ht="13.5">
      <c r="C40" s="2" t="s">
        <v>44</v>
      </c>
      <c r="D40" s="1">
        <f>M30</f>
        <v>10</v>
      </c>
      <c r="F40" s="2"/>
      <c r="G40" s="17"/>
      <c r="H40" s="22"/>
      <c r="I40" s="22"/>
      <c r="J40" s="18"/>
    </row>
    <row r="41" spans="3:10" ht="13.5">
      <c r="C41" s="2" t="s">
        <v>45</v>
      </c>
      <c r="D41" s="4">
        <f>M31</f>
        <v>5</v>
      </c>
      <c r="F41" s="2"/>
      <c r="G41" s="17"/>
      <c r="H41" s="22"/>
      <c r="I41" s="22"/>
      <c r="J41" s="18"/>
    </row>
    <row r="42" spans="3:10" ht="13.5">
      <c r="C42" s="2" t="s">
        <v>46</v>
      </c>
      <c r="D42" s="1">
        <f>M32</f>
        <v>10</v>
      </c>
      <c r="F42" s="2"/>
      <c r="G42" s="17"/>
      <c r="H42" s="22"/>
      <c r="I42" s="22"/>
      <c r="J42" s="18"/>
    </row>
    <row r="43" spans="3:10" ht="13.5">
      <c r="C43" s="8" t="s">
        <v>47</v>
      </c>
      <c r="D43" s="9">
        <v>0</v>
      </c>
      <c r="F43" s="2"/>
      <c r="G43" s="17"/>
      <c r="H43" s="22"/>
      <c r="I43" s="22"/>
      <c r="J43" s="18"/>
    </row>
    <row r="44" spans="3:10" ht="13.5">
      <c r="C44" s="2" t="s">
        <v>48</v>
      </c>
      <c r="D44" s="1">
        <f>Q28</f>
        <v>249657</v>
      </c>
      <c r="F44" s="2"/>
      <c r="G44" s="17"/>
      <c r="H44" s="22"/>
      <c r="I44" s="22"/>
      <c r="J44" s="18"/>
    </row>
    <row r="45" spans="3:10" ht="13.5">
      <c r="C45" s="2" t="s">
        <v>49</v>
      </c>
      <c r="D45" s="4">
        <f>R28</f>
        <v>-45891.99999999995</v>
      </c>
      <c r="F45" s="2"/>
      <c r="G45" s="17"/>
      <c r="H45" s="22"/>
      <c r="I45" s="22"/>
      <c r="J45" s="18"/>
    </row>
    <row r="46" spans="3:10" ht="13.5">
      <c r="C46" s="2" t="s">
        <v>50</v>
      </c>
      <c r="D46" s="1">
        <f>P28</f>
        <v>203765.00000000006</v>
      </c>
      <c r="F46" s="5"/>
      <c r="G46" s="15"/>
      <c r="H46" s="21"/>
      <c r="I46" s="21"/>
      <c r="J46" s="16"/>
    </row>
    <row r="47" spans="3:10" ht="13.5">
      <c r="C47" s="2" t="s">
        <v>15</v>
      </c>
      <c r="D47" s="13">
        <f>D44/D40</f>
        <v>24965.7</v>
      </c>
      <c r="F47" s="2"/>
      <c r="G47" s="17"/>
      <c r="H47" s="22"/>
      <c r="I47" s="22"/>
      <c r="J47" s="18"/>
    </row>
    <row r="48" spans="3:10" ht="13.5">
      <c r="C48" s="2" t="s">
        <v>16</v>
      </c>
      <c r="D48" s="13">
        <f>D45/D41</f>
        <v>-9178.39999999999</v>
      </c>
      <c r="F48" s="2"/>
      <c r="G48" s="17"/>
      <c r="H48" s="22"/>
      <c r="I48" s="22"/>
      <c r="J48" s="18"/>
    </row>
    <row r="49" spans="3:10" ht="13.5">
      <c r="C49" s="2" t="s">
        <v>51</v>
      </c>
      <c r="D49" s="1">
        <f>MAX(S2:S27)</f>
        <v>2</v>
      </c>
      <c r="F49" s="2"/>
      <c r="G49" s="17"/>
      <c r="H49" s="22"/>
      <c r="I49" s="22"/>
      <c r="J49" s="18"/>
    </row>
    <row r="50" spans="3:10" ht="13.5">
      <c r="C50" s="2" t="s">
        <v>52</v>
      </c>
      <c r="D50" s="1">
        <f>-MIN(S2:S27)</f>
        <v>1</v>
      </c>
      <c r="F50" s="2"/>
      <c r="G50" s="17"/>
      <c r="H50" s="22"/>
      <c r="I50" s="22"/>
      <c r="J50" s="18"/>
    </row>
    <row r="51" spans="3:10" ht="13.5">
      <c r="C51" s="2" t="s">
        <v>53</v>
      </c>
      <c r="D51" s="14">
        <f>MAX(N2:N27)</f>
        <v>223.99999999999974</v>
      </c>
      <c r="F51" s="2"/>
      <c r="G51" s="17"/>
      <c r="H51" s="22"/>
      <c r="I51" s="22"/>
      <c r="J51" s="18"/>
    </row>
    <row r="52" spans="3:10" ht="14.25" thickBot="1">
      <c r="C52" s="3" t="s">
        <v>14</v>
      </c>
      <c r="D52" s="7">
        <f>D40/(D40+D41)</f>
        <v>0.6666666666666666</v>
      </c>
      <c r="F52" s="2"/>
      <c r="G52" s="17"/>
      <c r="H52" s="22"/>
      <c r="I52" s="22"/>
      <c r="J52" s="18"/>
    </row>
    <row r="53" spans="3:10" ht="13.5">
      <c r="C53" s="8" t="s">
        <v>92</v>
      </c>
      <c r="D53">
        <f>(INT(-100*D47/D48))/100</f>
        <v>2.72</v>
      </c>
      <c r="F53" s="2"/>
      <c r="G53" s="17"/>
      <c r="H53" s="22"/>
      <c r="I53" s="22"/>
      <c r="J53" s="18"/>
    </row>
    <row r="54" spans="6:10" ht="14.25" thickBot="1">
      <c r="F54" s="3"/>
      <c r="G54" s="19"/>
      <c r="H54" s="23"/>
      <c r="I54" s="23"/>
      <c r="J54" s="20"/>
    </row>
    <row r="55" spans="6:10" ht="14.25" thickBot="1">
      <c r="F55" s="38" t="s">
        <v>35</v>
      </c>
      <c r="G55" s="43">
        <f>SUM(G36:G54)</f>
        <v>0</v>
      </c>
      <c r="H55" s="43"/>
      <c r="I55" s="43">
        <f>SUM(I36:I54)</f>
        <v>0</v>
      </c>
      <c r="J55" s="43">
        <f>SUM(J36:J54)</f>
        <v>0</v>
      </c>
    </row>
    <row r="58" spans="6:11" ht="14.25" thickBot="1">
      <c r="F58" s="133" t="s">
        <v>54</v>
      </c>
      <c r="G58" s="134"/>
      <c r="H58" s="28"/>
      <c r="I58" s="28" t="s">
        <v>38</v>
      </c>
      <c r="J58" s="29" t="s">
        <v>39</v>
      </c>
      <c r="K58" s="30" t="s">
        <v>55</v>
      </c>
    </row>
    <row r="59" spans="6:11" ht="13.5">
      <c r="F59" s="5" t="s">
        <v>56</v>
      </c>
      <c r="G59" s="15">
        <v>0</v>
      </c>
      <c r="H59" s="21"/>
      <c r="I59" s="21">
        <v>0</v>
      </c>
      <c r="J59" s="25">
        <v>0</v>
      </c>
      <c r="K59" s="26">
        <v>0</v>
      </c>
    </row>
    <row r="60" spans="6:11" ht="13.5">
      <c r="F60" s="2" t="s">
        <v>57</v>
      </c>
      <c r="G60" s="17">
        <v>0</v>
      </c>
      <c r="H60" s="17"/>
      <c r="I60" s="17">
        <v>0</v>
      </c>
      <c r="J60" s="22">
        <v>0</v>
      </c>
      <c r="K60" s="27">
        <v>0</v>
      </c>
    </row>
    <row r="61" spans="6:11" ht="13.5">
      <c r="F61" s="2" t="s">
        <v>58</v>
      </c>
      <c r="G61" s="17">
        <v>0</v>
      </c>
      <c r="H61" s="17"/>
      <c r="I61" s="17">
        <v>0</v>
      </c>
      <c r="J61" s="22">
        <v>0</v>
      </c>
      <c r="K61" s="27">
        <v>0</v>
      </c>
    </row>
    <row r="62" spans="6:11" ht="13.5">
      <c r="F62" s="2" t="s">
        <v>59</v>
      </c>
      <c r="G62" s="17">
        <v>0</v>
      </c>
      <c r="H62" s="17"/>
      <c r="I62" s="17">
        <v>0</v>
      </c>
      <c r="J62" s="22">
        <v>0</v>
      </c>
      <c r="K62" s="27">
        <v>0</v>
      </c>
    </row>
    <row r="63" spans="6:11" ht="14.25" thickBot="1">
      <c r="F63" s="33" t="s">
        <v>60</v>
      </c>
      <c r="G63" s="34">
        <v>0</v>
      </c>
      <c r="H63" s="34"/>
      <c r="I63" s="34">
        <v>0</v>
      </c>
      <c r="J63" s="35">
        <v>0</v>
      </c>
      <c r="K63" s="36">
        <v>0</v>
      </c>
    </row>
    <row r="64" spans="6:11" ht="14.25" thickBot="1">
      <c r="F64" s="32" t="s">
        <v>35</v>
      </c>
      <c r="G64" s="32"/>
      <c r="H64" s="32"/>
      <c r="I64" s="32"/>
      <c r="J64" s="37"/>
      <c r="K64" s="123">
        <f>SUM(K59:K63)</f>
        <v>0</v>
      </c>
    </row>
  </sheetData>
  <sheetProtection/>
  <mergeCells count="3">
    <mergeCell ref="C35:D35"/>
    <mergeCell ref="F35:G35"/>
    <mergeCell ref="F58:G58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B6" sqref="B6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SheetLayoutView="100" zoomScalePageLayoutView="0" workbookViewId="0" topLeftCell="A1">
      <selection activeCell="B4" sqref="B4"/>
    </sheetView>
  </sheetViews>
  <sheetFormatPr defaultColWidth="8.875" defaultRowHeight="13.5"/>
  <sheetData>
    <row r="1" spans="1:9" ht="13.5">
      <c r="A1" s="126" t="s">
        <v>61</v>
      </c>
      <c r="B1" s="127"/>
      <c r="C1" s="127"/>
      <c r="D1" s="127"/>
      <c r="E1" s="127"/>
      <c r="F1" s="127"/>
      <c r="G1" s="127"/>
      <c r="H1" s="127"/>
      <c r="I1" s="130"/>
    </row>
    <row r="2" spans="1:9" ht="13.5">
      <c r="A2" s="128" t="s">
        <v>62</v>
      </c>
      <c r="B2" s="129"/>
      <c r="C2" s="129"/>
      <c r="D2" s="129"/>
      <c r="E2" s="129"/>
      <c r="F2" s="129"/>
      <c r="G2" s="129"/>
      <c r="H2" s="129"/>
      <c r="I2" s="130"/>
    </row>
    <row r="3" spans="1:4" ht="13.5">
      <c r="A3" s="125"/>
      <c r="D3" s="125"/>
    </row>
    <row r="4" ht="13.5">
      <c r="A4" t="s">
        <v>93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4:E14"/>
  <sheetViews>
    <sheetView zoomScaleSheetLayoutView="100" zoomScalePageLayoutView="0" workbookViewId="0" topLeftCell="A1">
      <selection activeCell="D4" sqref="D4"/>
    </sheetView>
  </sheetViews>
  <sheetFormatPr defaultColWidth="8.875" defaultRowHeight="13.5"/>
  <sheetData>
    <row r="4" spans="2:5" ht="13.5">
      <c r="B4" t="s">
        <v>63</v>
      </c>
      <c r="C4" t="s">
        <v>64</v>
      </c>
      <c r="D4" t="s">
        <v>65</v>
      </c>
      <c r="E4" t="s">
        <v>66</v>
      </c>
    </row>
    <row r="5" spans="3:5" ht="13.5">
      <c r="C5" t="s">
        <v>67</v>
      </c>
      <c r="D5" t="s">
        <v>65</v>
      </c>
      <c r="E5" t="s">
        <v>66</v>
      </c>
    </row>
    <row r="9" spans="2:5" ht="13.5">
      <c r="B9" t="s">
        <v>68</v>
      </c>
      <c r="D9" t="s">
        <v>64</v>
      </c>
      <c r="E9" t="s">
        <v>69</v>
      </c>
    </row>
    <row r="10" spans="4:5" ht="13.5">
      <c r="D10" t="s">
        <v>70</v>
      </c>
      <c r="E10" t="s">
        <v>69</v>
      </c>
    </row>
    <row r="13" spans="2:5" ht="13.5">
      <c r="B13" t="s">
        <v>71</v>
      </c>
      <c r="E13" t="s">
        <v>64</v>
      </c>
    </row>
    <row r="14" ht="13.5">
      <c r="E14" t="s">
        <v>72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Suda</cp:lastModifiedBy>
  <cp:lastPrinted>1899-12-30T00:00:00Z</cp:lastPrinted>
  <dcterms:created xsi:type="dcterms:W3CDTF">2013-10-09T23:04:08Z</dcterms:created>
  <dcterms:modified xsi:type="dcterms:W3CDTF">2015-10-25T03:34:16Z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