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activeTab="3"/>
  </bookViews>
  <sheets>
    <sheet name="ルール＆合計" sheetId="3" r:id="rId1"/>
    <sheet name="デモトレ履歴" sheetId="2" r:id="rId2"/>
    <sheet name="画像11.09～" sheetId="13" r:id="rId3"/>
    <sheet name="気づき" sheetId="1" r:id="rId4"/>
    <sheet name="決まり事" sheetId="7" r:id="rId5"/>
    <sheet name="成績表" sheetId="9" r:id="rId6"/>
    <sheet name="画像11.02～" sheetId="12" r:id="rId7"/>
    <sheet name="検証データ_原紙" sheetId="4" r:id="rId8"/>
    <sheet name="画像_原紙" sheetId="5" r:id="rId9"/>
  </sheets>
  <definedNames>
    <definedName name="_xlnm._FilterDatabase" localSheetId="1" hidden="1">デモトレ履歴!$A$1:$Q$171</definedName>
  </definedNames>
  <calcPr calcId="124519"/>
</workbook>
</file>

<file path=xl/calcChain.xml><?xml version="1.0" encoding="utf-8"?>
<calcChain xmlns="http://schemas.openxmlformats.org/spreadsheetml/2006/main">
  <c r="Q132" i="2"/>
  <c r="P133"/>
  <c r="O133"/>
  <c r="N133"/>
  <c r="Q124"/>
  <c r="Q125" s="1"/>
  <c r="Q126" s="1"/>
  <c r="Q127" s="1"/>
  <c r="Q128" s="1"/>
  <c r="Q129" s="1"/>
  <c r="Q130" s="1"/>
  <c r="Q131" s="1"/>
  <c r="P122"/>
  <c r="O122"/>
  <c r="N122"/>
  <c r="Q121"/>
  <c r="Q120"/>
  <c r="Q114"/>
  <c r="Q115" s="1"/>
  <c r="Q116" s="1"/>
  <c r="Q117" s="1"/>
  <c r="Q118" s="1"/>
  <c r="Q119" s="1"/>
  <c r="Q106"/>
  <c r="Q107" s="1"/>
  <c r="Q108" s="1"/>
  <c r="Q109" s="1"/>
  <c r="Q110" s="1"/>
  <c r="Q111" s="1"/>
  <c r="Q105"/>
  <c r="Q104"/>
  <c r="Q103"/>
  <c r="N112"/>
  <c r="O112"/>
  <c r="P112"/>
  <c r="R2"/>
  <c r="Q3"/>
  <c r="Q4" s="1"/>
  <c r="Q5" s="1"/>
  <c r="Q6" s="1"/>
  <c r="Q7" s="1"/>
  <c r="Q8" s="1"/>
  <c r="Q9" s="1"/>
  <c r="Q10" s="1"/>
  <c r="Q11" s="1"/>
  <c r="Q12" s="1"/>
  <c r="R3"/>
  <c r="R4"/>
  <c r="R5"/>
  <c r="R6"/>
  <c r="R7"/>
  <c r="R8"/>
  <c r="R9"/>
  <c r="R10"/>
  <c r="R11"/>
  <c r="R12"/>
  <c r="N13"/>
  <c r="O13"/>
  <c r="P13"/>
  <c r="R13"/>
  <c r="R91"/>
  <c r="R92"/>
  <c r="R93"/>
  <c r="R94"/>
  <c r="R95"/>
  <c r="R96"/>
  <c r="R97"/>
  <c r="R98"/>
  <c r="R99"/>
  <c r="R100"/>
  <c r="N101"/>
  <c r="O101"/>
  <c r="P101"/>
  <c r="G63" i="9" l="1"/>
  <c r="F63"/>
  <c r="R168" i="2"/>
  <c r="R167"/>
  <c r="R166"/>
  <c r="R165"/>
  <c r="R164"/>
  <c r="R163"/>
  <c r="R162"/>
  <c r="R161"/>
  <c r="R160"/>
  <c r="R159"/>
  <c r="R158"/>
  <c r="R157"/>
  <c r="R111"/>
  <c r="R110"/>
  <c r="R109"/>
  <c r="R108"/>
  <c r="R107"/>
  <c r="R106"/>
  <c r="R105"/>
  <c r="R104"/>
  <c r="R103"/>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C4" i="9"/>
  <c r="A46" s="1"/>
  <c r="C2"/>
  <c r="A47" l="1"/>
  <c r="N46" s="1"/>
  <c r="H46" l="1"/>
  <c r="B46"/>
  <c r="G46"/>
  <c r="F46"/>
  <c r="E46"/>
  <c r="C46"/>
  <c r="A48"/>
  <c r="N47" s="1"/>
  <c r="C47" l="1"/>
  <c r="G47"/>
  <c r="H47"/>
  <c r="F47"/>
  <c r="E47"/>
  <c r="J46"/>
  <c r="I46"/>
  <c r="K46"/>
  <c r="B47"/>
  <c r="D46"/>
  <c r="O46" s="1"/>
  <c r="M46"/>
  <c r="A49"/>
  <c r="L46" l="1"/>
  <c r="F48"/>
  <c r="H48"/>
  <c r="G48"/>
  <c r="E48"/>
  <c r="N48" s="1"/>
  <c r="I47"/>
  <c r="K47"/>
  <c r="A50"/>
  <c r="J47"/>
  <c r="D47"/>
  <c r="O47" s="1"/>
  <c r="M47"/>
  <c r="C48" l="1"/>
  <c r="H49"/>
  <c r="G49"/>
  <c r="A51"/>
  <c r="F49"/>
  <c r="E49"/>
  <c r="N49" s="1"/>
  <c r="I48"/>
  <c r="L47"/>
  <c r="G50" l="1"/>
  <c r="H50"/>
  <c r="H51" s="1"/>
  <c r="F50"/>
  <c r="A52"/>
  <c r="E50"/>
  <c r="N50" s="1"/>
  <c r="B48"/>
  <c r="G51" l="1"/>
  <c r="E51"/>
  <c r="N51" s="1"/>
  <c r="A53"/>
  <c r="F51"/>
  <c r="M48"/>
  <c r="J48"/>
  <c r="D48"/>
  <c r="O48" s="1"/>
  <c r="E52" l="1"/>
  <c r="N52" s="1"/>
  <c r="H52"/>
  <c r="G52"/>
  <c r="F52"/>
  <c r="A54"/>
  <c r="A55" l="1"/>
  <c r="H53"/>
  <c r="G53"/>
  <c r="F53"/>
  <c r="A56"/>
  <c r="E53"/>
  <c r="N53" s="1"/>
  <c r="B49"/>
  <c r="C49"/>
  <c r="K49" s="1"/>
  <c r="I49"/>
  <c r="F54" l="1"/>
  <c r="H54"/>
  <c r="H55" s="1"/>
  <c r="G54"/>
  <c r="G55" s="1"/>
  <c r="E54"/>
  <c r="F55"/>
  <c r="A57"/>
  <c r="J49"/>
  <c r="L49" s="1"/>
  <c r="D49"/>
  <c r="O49" s="1"/>
  <c r="M49"/>
  <c r="G56" l="1"/>
  <c r="E55"/>
  <c r="N55" s="1"/>
  <c r="N54"/>
  <c r="H56"/>
  <c r="F56"/>
  <c r="A58"/>
  <c r="H57" l="1"/>
  <c r="E56"/>
  <c r="N56" s="1"/>
  <c r="G57"/>
  <c r="A59"/>
  <c r="A60" s="1"/>
  <c r="F57"/>
  <c r="B52"/>
  <c r="I51"/>
  <c r="C51"/>
  <c r="K51" s="1"/>
  <c r="B51"/>
  <c r="I50"/>
  <c r="B50"/>
  <c r="C50"/>
  <c r="K50" s="1"/>
  <c r="F58" l="1"/>
  <c r="F59" s="1"/>
  <c r="A61"/>
  <c r="E57"/>
  <c r="N57" s="1"/>
  <c r="H58"/>
  <c r="H59" s="1"/>
  <c r="G58"/>
  <c r="G59" s="1"/>
  <c r="C52"/>
  <c r="K52" s="1"/>
  <c r="I52"/>
  <c r="J51"/>
  <c r="L51" s="1"/>
  <c r="M51"/>
  <c r="D51"/>
  <c r="J52"/>
  <c r="J50"/>
  <c r="L50" s="1"/>
  <c r="M50"/>
  <c r="D50"/>
  <c r="O50" s="1"/>
  <c r="O51" l="1"/>
  <c r="G60"/>
  <c r="H60"/>
  <c r="F60"/>
  <c r="A62"/>
  <c r="E58"/>
  <c r="L52"/>
  <c r="D52"/>
  <c r="C53"/>
  <c r="K53" s="1"/>
  <c r="I53"/>
  <c r="B53"/>
  <c r="B54"/>
  <c r="I54"/>
  <c r="C54"/>
  <c r="K54" s="1"/>
  <c r="M52"/>
  <c r="O52" l="1"/>
  <c r="G61"/>
  <c r="F61"/>
  <c r="A63"/>
  <c r="H61"/>
  <c r="N58"/>
  <c r="E59"/>
  <c r="N59" s="1"/>
  <c r="J53"/>
  <c r="L53" s="1"/>
  <c r="D53"/>
  <c r="M53"/>
  <c r="B56"/>
  <c r="I56"/>
  <c r="C56"/>
  <c r="K56" s="1"/>
  <c r="B55"/>
  <c r="I55"/>
  <c r="C55"/>
  <c r="K55" s="1"/>
  <c r="J54"/>
  <c r="L54" s="1"/>
  <c r="M54"/>
  <c r="D54"/>
  <c r="O53" l="1"/>
  <c r="F62"/>
  <c r="G62"/>
  <c r="H62"/>
  <c r="H63" s="1"/>
  <c r="O54"/>
  <c r="E60"/>
  <c r="J56"/>
  <c r="L56" s="1"/>
  <c r="D56"/>
  <c r="M56"/>
  <c r="D55"/>
  <c r="M55"/>
  <c r="J55"/>
  <c r="L55" s="1"/>
  <c r="I57"/>
  <c r="B57"/>
  <c r="C57"/>
  <c r="K57" s="1"/>
  <c r="O55" l="1"/>
  <c r="O56" s="1"/>
  <c r="E61"/>
  <c r="N60"/>
  <c r="C59"/>
  <c r="K59" s="1"/>
  <c r="I59"/>
  <c r="B59"/>
  <c r="J57"/>
  <c r="L57" s="1"/>
  <c r="M57"/>
  <c r="D57"/>
  <c r="I58"/>
  <c r="C58"/>
  <c r="K58" s="1"/>
  <c r="B58"/>
  <c r="O57" l="1"/>
  <c r="E62"/>
  <c r="N61"/>
  <c r="B61"/>
  <c r="C61"/>
  <c r="K61" s="1"/>
  <c r="I61"/>
  <c r="J58"/>
  <c r="L58" s="1"/>
  <c r="D58"/>
  <c r="M58"/>
  <c r="B60"/>
  <c r="I60"/>
  <c r="C60"/>
  <c r="K60" s="1"/>
  <c r="M59"/>
  <c r="D59"/>
  <c r="J59"/>
  <c r="L59" s="1"/>
  <c r="O58" l="1"/>
  <c r="O59" s="1"/>
  <c r="N62"/>
  <c r="E63"/>
  <c r="N63" s="1"/>
  <c r="M60"/>
  <c r="J60"/>
  <c r="L60" s="1"/>
  <c r="D60"/>
  <c r="C62"/>
  <c r="K62" s="1"/>
  <c r="B62"/>
  <c r="I62"/>
  <c r="M61"/>
  <c r="J61"/>
  <c r="L61" s="1"/>
  <c r="D61"/>
  <c r="O60" l="1"/>
  <c r="O61" s="1"/>
  <c r="I63"/>
  <c r="C63"/>
  <c r="K63" s="1"/>
  <c r="B63"/>
  <c r="D62"/>
  <c r="J62"/>
  <c r="L62" s="1"/>
  <c r="M62"/>
  <c r="D63" l="1"/>
  <c r="M63"/>
  <c r="J63"/>
  <c r="L63" s="1"/>
  <c r="O62"/>
  <c r="I36"/>
  <c r="H36"/>
  <c r="G36"/>
  <c r="I35"/>
  <c r="H35"/>
  <c r="G35"/>
  <c r="J35" s="1"/>
  <c r="I34"/>
  <c r="H34"/>
  <c r="G34"/>
  <c r="I33"/>
  <c r="H33"/>
  <c r="G33"/>
  <c r="I32"/>
  <c r="H32"/>
  <c r="G32"/>
  <c r="I31"/>
  <c r="H31"/>
  <c r="G31"/>
  <c r="I30"/>
  <c r="H30"/>
  <c r="G30"/>
  <c r="J30" s="1"/>
  <c r="I29"/>
  <c r="H29"/>
  <c r="G29"/>
  <c r="J29" s="1"/>
  <c r="I28"/>
  <c r="H28"/>
  <c r="G28"/>
  <c r="J28" s="1"/>
  <c r="I27"/>
  <c r="H27"/>
  <c r="G27"/>
  <c r="J27" s="1"/>
  <c r="I26"/>
  <c r="H26"/>
  <c r="G26"/>
  <c r="J26" s="1"/>
  <c r="I25"/>
  <c r="H25"/>
  <c r="G25"/>
  <c r="I24"/>
  <c r="H24"/>
  <c r="G24"/>
  <c r="J24" s="1"/>
  <c r="I23"/>
  <c r="H23"/>
  <c r="G23"/>
  <c r="J23" s="1"/>
  <c r="I22"/>
  <c r="H22"/>
  <c r="G22"/>
  <c r="I21"/>
  <c r="H21"/>
  <c r="G21"/>
  <c r="I20"/>
  <c r="H20"/>
  <c r="G20"/>
  <c r="I19"/>
  <c r="H19"/>
  <c r="G19"/>
  <c r="I18"/>
  <c r="H18"/>
  <c r="G18"/>
  <c r="J18" s="1"/>
  <c r="I17"/>
  <c r="H17"/>
  <c r="G17"/>
  <c r="I16"/>
  <c r="H16"/>
  <c r="G16"/>
  <c r="I15"/>
  <c r="H15"/>
  <c r="G15"/>
  <c r="J15" s="1"/>
  <c r="I14"/>
  <c r="H14"/>
  <c r="G14"/>
  <c r="J14" s="1"/>
  <c r="I13"/>
  <c r="H13"/>
  <c r="G13"/>
  <c r="I12"/>
  <c r="H12"/>
  <c r="G12"/>
  <c r="I11"/>
  <c r="H11"/>
  <c r="G11"/>
  <c r="I10"/>
  <c r="H10"/>
  <c r="G10"/>
  <c r="J10" s="1"/>
  <c r="I9"/>
  <c r="D9"/>
  <c r="H9"/>
  <c r="C9"/>
  <c r="AD9" s="1"/>
  <c r="G9"/>
  <c r="J9" s="1"/>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4"/>
  <c r="J25" l="1"/>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O89" i="2" l="1"/>
  <c r="P69"/>
  <c r="Q21" i="4" l="1"/>
  <c r="Q20"/>
  <c r="Q19"/>
  <c r="Q18"/>
  <c r="Q17"/>
  <c r="Q16"/>
  <c r="Q15"/>
  <c r="Q14"/>
  <c r="Q13"/>
  <c r="Q12"/>
  <c r="Q11"/>
  <c r="Q10"/>
  <c r="Q9"/>
  <c r="Q8"/>
  <c r="Q7"/>
  <c r="Q6"/>
  <c r="Q5"/>
  <c r="Q4"/>
  <c r="Q3"/>
  <c r="Q2"/>
  <c r="Q112"/>
  <c r="Q113"/>
  <c r="P116"/>
  <c r="O116"/>
  <c r="N116"/>
  <c r="N114"/>
  <c r="N91"/>
  <c r="N68"/>
  <c r="N45"/>
  <c r="N22"/>
  <c r="P89" i="2" l="1"/>
  <c r="N89"/>
  <c r="P79"/>
  <c r="O79"/>
  <c r="K148" i="4"/>
  <c r="O139"/>
  <c r="N139"/>
  <c r="M139"/>
  <c r="O114"/>
  <c r="P113"/>
  <c r="P112"/>
  <c r="Q111"/>
  <c r="P111"/>
  <c r="Q110"/>
  <c r="P110"/>
  <c r="Q109"/>
  <c r="P109"/>
  <c r="Q108"/>
  <c r="P108"/>
  <c r="Q107"/>
  <c r="P107"/>
  <c r="Q106"/>
  <c r="P106"/>
  <c r="Q105"/>
  <c r="P105"/>
  <c r="Q104"/>
  <c r="P104"/>
  <c r="Q103"/>
  <c r="P103"/>
  <c r="Q102"/>
  <c r="P102"/>
  <c r="Q101"/>
  <c r="P101"/>
  <c r="Q100"/>
  <c r="P100"/>
  <c r="Q99"/>
  <c r="P99"/>
  <c r="Q98"/>
  <c r="P98"/>
  <c r="Q97"/>
  <c r="P97"/>
  <c r="Q96"/>
  <c r="P96"/>
  <c r="Q95"/>
  <c r="P95"/>
  <c r="Q94"/>
  <c r="P94"/>
  <c r="P114" s="1"/>
  <c r="O91"/>
  <c r="Q90"/>
  <c r="P90"/>
  <c r="Q89"/>
  <c r="P89"/>
  <c r="Q88"/>
  <c r="P88"/>
  <c r="Q87"/>
  <c r="P87"/>
  <c r="Q86"/>
  <c r="P86"/>
  <c r="Q85"/>
  <c r="P85"/>
  <c r="Q84"/>
  <c r="P84"/>
  <c r="Q83"/>
  <c r="P83"/>
  <c r="Q82"/>
  <c r="P82"/>
  <c r="Q81"/>
  <c r="P81"/>
  <c r="Q80"/>
  <c r="P80"/>
  <c r="Q79"/>
  <c r="P79"/>
  <c r="Q78"/>
  <c r="P78"/>
  <c r="Q77"/>
  <c r="P77"/>
  <c r="Q76"/>
  <c r="P76"/>
  <c r="Q75"/>
  <c r="P75"/>
  <c r="Q74"/>
  <c r="P74"/>
  <c r="Q73"/>
  <c r="P73"/>
  <c r="Q72"/>
  <c r="P72"/>
  <c r="Q71"/>
  <c r="P71"/>
  <c r="O68"/>
  <c r="Q67"/>
  <c r="P67"/>
  <c r="Q66"/>
  <c r="P66"/>
  <c r="Q65"/>
  <c r="P65"/>
  <c r="Q64"/>
  <c r="P64"/>
  <c r="Q63"/>
  <c r="P63"/>
  <c r="Q62"/>
  <c r="P62"/>
  <c r="Q61"/>
  <c r="P61"/>
  <c r="Q60"/>
  <c r="P60"/>
  <c r="Q59"/>
  <c r="P59"/>
  <c r="Q58"/>
  <c r="P58"/>
  <c r="Q57"/>
  <c r="P57"/>
  <c r="Q56"/>
  <c r="P56"/>
  <c r="Q55"/>
  <c r="P55"/>
  <c r="Q54"/>
  <c r="P54"/>
  <c r="Q53"/>
  <c r="P53"/>
  <c r="Q52"/>
  <c r="P52"/>
  <c r="Q51"/>
  <c r="P51"/>
  <c r="Q50"/>
  <c r="P50"/>
  <c r="Q49"/>
  <c r="P49"/>
  <c r="Q48"/>
  <c r="P48"/>
  <c r="O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O22"/>
  <c r="P21"/>
  <c r="P20"/>
  <c r="P19"/>
  <c r="P18"/>
  <c r="P17"/>
  <c r="P16"/>
  <c r="P15"/>
  <c r="P14"/>
  <c r="P13"/>
  <c r="P12"/>
  <c r="P11"/>
  <c r="P10"/>
  <c r="P9"/>
  <c r="P8"/>
  <c r="P7"/>
  <c r="P6"/>
  <c r="P5"/>
  <c r="P4"/>
  <c r="P3"/>
  <c r="P2"/>
  <c r="P22" s="1"/>
  <c r="K203" i="2"/>
  <c r="O194"/>
  <c r="N194"/>
  <c r="M194"/>
  <c r="O169"/>
  <c r="N169"/>
  <c r="Q168"/>
  <c r="P168"/>
  <c r="Q167"/>
  <c r="P167"/>
  <c r="Q166"/>
  <c r="P166"/>
  <c r="Q165"/>
  <c r="P165"/>
  <c r="Q164"/>
  <c r="P164"/>
  <c r="Q163"/>
  <c r="P163"/>
  <c r="Q162"/>
  <c r="P162"/>
  <c r="Q161"/>
  <c r="P161"/>
  <c r="Q160"/>
  <c r="P160"/>
  <c r="Q159"/>
  <c r="P159"/>
  <c r="Q158"/>
  <c r="P158"/>
  <c r="Q157"/>
  <c r="P157"/>
  <c r="P71"/>
  <c r="O69"/>
  <c r="N69"/>
  <c r="P59"/>
  <c r="O59"/>
  <c r="N59"/>
  <c r="P44"/>
  <c r="O44"/>
  <c r="N44"/>
  <c r="Q37"/>
  <c r="Q38" s="1"/>
  <c r="P31"/>
  <c r="O31"/>
  <c r="Q26"/>
  <c r="Q27" s="1"/>
  <c r="P23"/>
  <c r="O23"/>
  <c r="N23"/>
  <c r="L19" i="9" l="1"/>
  <c r="N171" i="2"/>
  <c r="O171"/>
  <c r="Q39"/>
  <c r="Q28"/>
  <c r="P169"/>
  <c r="P45" i="4"/>
  <c r="P68"/>
  <c r="P91"/>
  <c r="Q29" i="2" l="1"/>
  <c r="Q40"/>
  <c r="Q41" s="1"/>
  <c r="L12" i="9"/>
  <c r="N33"/>
  <c r="K33"/>
  <c r="M33" s="1"/>
  <c r="P171" i="2"/>
  <c r="L15" i="9" l="1"/>
  <c r="M15" s="1"/>
  <c r="N15"/>
  <c r="Q42" i="2"/>
  <c r="Q43" s="1"/>
  <c r="Q30"/>
  <c r="Q33" s="1"/>
  <c r="K13" i="9"/>
  <c r="M13" s="1"/>
  <c r="N13"/>
  <c r="Q46" i="2" l="1"/>
  <c r="Q47" s="1"/>
  <c r="Q48" s="1"/>
  <c r="Q49" s="1"/>
  <c r="Q50" s="1"/>
  <c r="K17" i="9"/>
  <c r="Q34" i="2"/>
  <c r="Q35" s="1"/>
  <c r="Q61" l="1"/>
  <c r="Q62" s="1"/>
  <c r="Q63" s="1"/>
  <c r="Q64" s="1"/>
  <c r="Q51"/>
  <c r="N24" i="9"/>
  <c r="L24"/>
  <c r="M24" s="1"/>
  <c r="L20"/>
  <c r="L21" l="1"/>
  <c r="Q65" i="2"/>
  <c r="Q66" s="1"/>
  <c r="Q52"/>
  <c r="Q67" l="1"/>
  <c r="Q53"/>
  <c r="K19" i="9" l="1"/>
  <c r="M19" s="1"/>
  <c r="N19"/>
  <c r="Q68" i="2"/>
  <c r="Q54"/>
  <c r="N20" i="9"/>
  <c r="K20"/>
  <c r="M20" s="1"/>
  <c r="Q74" i="2" l="1"/>
  <c r="Q75" s="1"/>
  <c r="Q76" s="1"/>
  <c r="Q55"/>
  <c r="K32" i="9"/>
  <c r="L14" l="1"/>
  <c r="M14" s="1"/>
  <c r="N14"/>
  <c r="Q56" i="2"/>
  <c r="Q57" s="1"/>
  <c r="Q58" s="1"/>
  <c r="Q15"/>
  <c r="Q77"/>
  <c r="Q78" s="1"/>
  <c r="L17" i="9"/>
  <c r="M17" s="1"/>
  <c r="N17"/>
  <c r="Q81" i="2" l="1"/>
  <c r="K12" i="9"/>
  <c r="N12"/>
  <c r="L16"/>
  <c r="N11"/>
  <c r="L11"/>
  <c r="M11" s="1"/>
  <c r="Q16" i="2"/>
  <c r="N27" i="9"/>
  <c r="L27"/>
  <c r="M27" s="1"/>
  <c r="K16" l="1"/>
  <c r="M16" s="1"/>
  <c r="N16"/>
  <c r="M12"/>
  <c r="N25"/>
  <c r="L25"/>
  <c r="M25" s="1"/>
  <c r="Q17" i="2"/>
  <c r="Q82"/>
  <c r="K22" i="9" l="1"/>
  <c r="M22" s="1"/>
  <c r="N22"/>
  <c r="Q83" i="2"/>
  <c r="Q18"/>
  <c r="K31" i="9" l="1"/>
  <c r="Q19" i="2"/>
  <c r="N21" i="9"/>
  <c r="K21"/>
  <c r="Q84" i="2"/>
  <c r="M21" i="9" l="1"/>
  <c r="Q85" i="2"/>
  <c r="Q20"/>
  <c r="Q86" l="1"/>
  <c r="Q87" s="1"/>
  <c r="Q88" s="1"/>
  <c r="Q91" s="1"/>
  <c r="Q92" s="1"/>
  <c r="Q93" s="1"/>
  <c r="Q94" s="1"/>
  <c r="Q95" s="1"/>
  <c r="Q96" s="1"/>
  <c r="Q97" s="1"/>
  <c r="Q98" s="1"/>
  <c r="Q99" s="1"/>
  <c r="Q100" s="1"/>
  <c r="Q21"/>
  <c r="L31" i="9" l="1"/>
  <c r="M31" s="1"/>
  <c r="N31"/>
  <c r="Q22" i="2"/>
  <c r="N10" i="9"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<sst xmlns="http://schemas.openxmlformats.org/spreadsheetml/2006/main" count="1126" uniqueCount="694">
  <si>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</si>
  <si>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</si>
  <si>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</si>
  <si>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</si>
  <si>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</si>
  <si>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</si>
  <si>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</si>
  <si>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</si>
  <si>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</si>
  <si>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</si>
  <si>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</si>
  <si>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</si>
  <si>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</si>
  <si>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</si>
  <si>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</si>
  <si>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</si>
  <si>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</si>
  <si>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</si>
  <si>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</si>
  <si>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</si>
  <si>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</si>
  <si>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</si>
  <si>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</si>
  <si>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</si>
  <si>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</si>
  <si>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</si>
  <si>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</si>
  <si>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</si>
  <si>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</si>
  <si>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</si>
  <si>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</si>
  <si>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</si>
  <si>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</si>
  <si>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</si>
  <si>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</si>
  <si>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</si>
  <si>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</si>
  <si>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</si>
  <si>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</si>
  <si>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</si>
  <si>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</si>
  <si>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</si>
  <si>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</si>
  <si>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</si>
  <si>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</si>
  <si>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</si>
  <si>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</si>
  <si>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</si>
  <si>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</si>
  <si>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</si>
  <si>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</si>
  <si>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</si>
  <si>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</si>
  <si>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</si>
  <si>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</si>
  <si>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</si>
  <si>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</si>
  <si>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</si>
  <si>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</si>
  <si>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</si>
  <si>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</si>
  <si>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</si>
  <si>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</si>
  <si>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</si>
  <si>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</si>
  <si>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</si>
  <si>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</si>
  <si>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</si>
  <si>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</si>
  <si>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</si>
  <si>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</si>
  <si>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</si>
  <si>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</si>
  <si>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</si>
  <si>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</si>
  <si>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</si>
  <si>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</si>
  <si>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</si>
  <si>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</si>
  <si>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</si>
  <si>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</si>
  <si>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</si>
  <si>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</si>
  <si>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</si>
  <si>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</si>
  <si>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EURUSD　</t>
    <phoneticPr fontId="2"/>
  </si>
  <si>
    <t>buy</t>
    <phoneticPr fontId="2"/>
  </si>
  <si>
    <t>PB</t>
    <phoneticPr fontId="2"/>
  </si>
  <si>
    <t>4H→1H</t>
    <phoneticPr fontId="2"/>
  </si>
  <si>
    <t>2015.08.17.08</t>
    <phoneticPr fontId="2"/>
  </si>
  <si>
    <t>１H</t>
    <phoneticPr fontId="2"/>
  </si>
  <si>
    <t>2015.08.17.18</t>
    <phoneticPr fontId="2"/>
  </si>
  <si>
    <t>loss</t>
    <phoneticPr fontId="2"/>
  </si>
  <si>
    <t>EURGBP</t>
    <phoneticPr fontId="2"/>
  </si>
  <si>
    <t>T/L+手法1</t>
    <rPh sb="4" eb="6">
      <t>シュホウ</t>
    </rPh>
    <phoneticPr fontId="2"/>
  </si>
  <si>
    <t>日足→4H</t>
    <rPh sb="0" eb="2">
      <t>ヒアシ</t>
    </rPh>
    <phoneticPr fontId="2"/>
  </si>
  <si>
    <t>2015.08.18.10</t>
    <phoneticPr fontId="2"/>
  </si>
  <si>
    <t>2015.08.18.12</t>
    <phoneticPr fontId="2"/>
  </si>
  <si>
    <t>EURUSD</t>
    <phoneticPr fontId="2"/>
  </si>
  <si>
    <t>sell</t>
    <phoneticPr fontId="2"/>
  </si>
  <si>
    <t>EB→PB</t>
    <phoneticPr fontId="2"/>
  </si>
  <si>
    <t>2015.08.19.12</t>
    <phoneticPr fontId="2"/>
  </si>
  <si>
    <t>2015.08.19.15</t>
    <phoneticPr fontId="2"/>
  </si>
  <si>
    <t>建値</t>
    <rPh sb="0" eb="2">
      <t>タテネ</t>
    </rPh>
    <phoneticPr fontId="2"/>
  </si>
  <si>
    <t>drw</t>
    <phoneticPr fontId="2"/>
  </si>
  <si>
    <t>NZDJPY　</t>
    <phoneticPr fontId="2"/>
  </si>
  <si>
    <t>D/J+手法１</t>
    <rPh sb="4" eb="6">
      <t>シュホウ</t>
    </rPh>
    <phoneticPr fontId="2"/>
  </si>
  <si>
    <t>日足</t>
    <rPh sb="0" eb="2">
      <t>ヒアシ</t>
    </rPh>
    <phoneticPr fontId="2"/>
  </si>
  <si>
    <t>2015.08.21.13</t>
    <phoneticPr fontId="2"/>
  </si>
  <si>
    <t>2015.08.24.01</t>
    <phoneticPr fontId="2"/>
  </si>
  <si>
    <t>CHFJPY　</t>
    <phoneticPr fontId="2"/>
  </si>
  <si>
    <t>2015.08.24.02</t>
    <phoneticPr fontId="2"/>
  </si>
  <si>
    <t>EURJPY</t>
    <phoneticPr fontId="2"/>
  </si>
  <si>
    <t>T/L+S/R</t>
    <phoneticPr fontId="2"/>
  </si>
  <si>
    <t>2015.08.21.20</t>
    <phoneticPr fontId="2"/>
  </si>
  <si>
    <t>2015.08.24.16</t>
    <phoneticPr fontId="2"/>
  </si>
  <si>
    <t>NZDUSD</t>
    <phoneticPr fontId="2"/>
  </si>
  <si>
    <t>手法１</t>
    <rPh sb="0" eb="2">
      <t>シュホウ</t>
    </rPh>
    <phoneticPr fontId="2"/>
  </si>
  <si>
    <t>1H</t>
    <phoneticPr fontId="2"/>
  </si>
  <si>
    <t>2015.08.24.23</t>
    <phoneticPr fontId="2"/>
  </si>
  <si>
    <t>2015.08.25.04</t>
    <phoneticPr fontId="2"/>
  </si>
  <si>
    <t>T/L</t>
    <phoneticPr fontId="2"/>
  </si>
  <si>
    <t>2015.08.25.10</t>
    <phoneticPr fontId="2"/>
  </si>
  <si>
    <t>2015.08.25.13</t>
    <phoneticPr fontId="2"/>
  </si>
  <si>
    <t>FIB38.2</t>
    <phoneticPr fontId="2"/>
  </si>
  <si>
    <t>win</t>
    <phoneticPr fontId="2"/>
  </si>
  <si>
    <t>AUDCHF</t>
    <phoneticPr fontId="2"/>
  </si>
  <si>
    <t>S/Rﾌﾞﾚｲｸ+手法１</t>
    <rPh sb="9" eb="11">
      <t>シュホウ</t>
    </rPh>
    <phoneticPr fontId="2"/>
  </si>
  <si>
    <t>2015.08.25.17</t>
    <phoneticPr fontId="2"/>
  </si>
  <si>
    <t>EURJPY　</t>
    <phoneticPr fontId="2"/>
  </si>
  <si>
    <t>2015.08.28.05</t>
    <phoneticPr fontId="2"/>
  </si>
  <si>
    <t>2015.08.28.11</t>
    <phoneticPr fontId="2"/>
  </si>
  <si>
    <t>GBPUSD　</t>
    <phoneticPr fontId="2"/>
  </si>
  <si>
    <t>2015.08.28.06</t>
    <phoneticPr fontId="2"/>
  </si>
  <si>
    <t>2015.08.28.09</t>
    <phoneticPr fontId="2"/>
  </si>
  <si>
    <t>1勝7敗3分</t>
    <rPh sb="1" eb="2">
      <t>ショウ</t>
    </rPh>
    <rPh sb="3" eb="4">
      <t>ハイ</t>
    </rPh>
    <rPh sb="5" eb="6">
      <t>ワケ</t>
    </rPh>
    <phoneticPr fontId="2"/>
  </si>
  <si>
    <t>以下8/31～分↓</t>
    <rPh sb="0" eb="2">
      <t>イカ</t>
    </rPh>
    <rPh sb="7" eb="8">
      <t>フン</t>
    </rPh>
    <phoneticPr fontId="2"/>
  </si>
  <si>
    <t>D/J+T/Lﾌﾞﾚｲｸ</t>
    <phoneticPr fontId="2"/>
  </si>
  <si>
    <t>2015.08.28.19</t>
    <phoneticPr fontId="2"/>
  </si>
  <si>
    <t>2015.08.31.09</t>
    <phoneticPr fontId="2"/>
  </si>
  <si>
    <t>EB</t>
    <phoneticPr fontId="2"/>
  </si>
  <si>
    <t>EURAUD　☆</t>
    <phoneticPr fontId="2"/>
  </si>
  <si>
    <t>2015.08.31.03</t>
    <phoneticPr fontId="2"/>
  </si>
  <si>
    <t>2015.08.31.08</t>
    <phoneticPr fontId="2"/>
  </si>
  <si>
    <t>EURCAD　☆</t>
    <phoneticPr fontId="2"/>
  </si>
  <si>
    <t>日足→１H</t>
    <rPh sb="0" eb="2">
      <t>ヒアシ</t>
    </rPh>
    <phoneticPr fontId="2"/>
  </si>
  <si>
    <t>2015.09.01.01</t>
    <phoneticPr fontId="2"/>
  </si>
  <si>
    <t>2015.09.01.16</t>
    <phoneticPr fontId="2"/>
  </si>
  <si>
    <t>NZDUSD ☆</t>
    <phoneticPr fontId="2"/>
  </si>
  <si>
    <t>D/J+手法１(BAD)</t>
    <rPh sb="4" eb="6">
      <t>シュホウ</t>
    </rPh>
    <phoneticPr fontId="2"/>
  </si>
  <si>
    <t>2015.09.02.02</t>
    <phoneticPr fontId="2"/>
  </si>
  <si>
    <t>2015.09.02.11</t>
    <phoneticPr fontId="2"/>
  </si>
  <si>
    <t>FIB</t>
    <phoneticPr fontId="2"/>
  </si>
  <si>
    <t>2015.09.02.21</t>
    <phoneticPr fontId="2"/>
  </si>
  <si>
    <t>2015.09.03.04</t>
    <phoneticPr fontId="2"/>
  </si>
  <si>
    <t>AUDCHF　</t>
    <phoneticPr fontId="2"/>
  </si>
  <si>
    <t>D/J+ﾌﾞﾚｲｸ+H/S</t>
    <phoneticPr fontId="2"/>
  </si>
  <si>
    <t>2015.09.04.04</t>
    <phoneticPr fontId="2"/>
  </si>
  <si>
    <t>15m</t>
    <phoneticPr fontId="2"/>
  </si>
  <si>
    <t>2015.09.04.08</t>
    <phoneticPr fontId="2"/>
  </si>
  <si>
    <t>MA</t>
    <phoneticPr fontId="2"/>
  </si>
  <si>
    <t>H/S→ﾌｯｸ&amp;ｺﾞｰ</t>
    <phoneticPr fontId="2"/>
  </si>
  <si>
    <t>2015.09.04.15</t>
    <phoneticPr fontId="2"/>
  </si>
  <si>
    <t>2015.09.04.16</t>
    <phoneticPr fontId="2"/>
  </si>
  <si>
    <t>※☆マークは自分の確立ルール</t>
    <rPh sb="6" eb="8">
      <t>ジブン</t>
    </rPh>
    <rPh sb="9" eb="11">
      <t>カクリツ</t>
    </rPh>
    <phoneticPr fontId="2"/>
  </si>
  <si>
    <t>３勝３敗２分</t>
    <rPh sb="1" eb="2">
      <t>ショウ</t>
    </rPh>
    <rPh sb="3" eb="4">
      <t>ハイ</t>
    </rPh>
    <rPh sb="5" eb="6">
      <t>ワケ</t>
    </rPh>
    <phoneticPr fontId="2"/>
  </si>
  <si>
    <t>以下9/7～分↓</t>
    <rPh sb="0" eb="2">
      <t>イカ</t>
    </rPh>
    <rPh sb="6" eb="7">
      <t>フン</t>
    </rPh>
    <phoneticPr fontId="2"/>
  </si>
  <si>
    <t>D/J+S/Rﾌﾞﾚｲｸ</t>
    <phoneticPr fontId="2"/>
  </si>
  <si>
    <t>2015.09.07.04</t>
    <phoneticPr fontId="2"/>
  </si>
  <si>
    <t>2015.09.08.06</t>
    <phoneticPr fontId="2"/>
  </si>
  <si>
    <t>S/R</t>
    <phoneticPr fontId="2"/>
  </si>
  <si>
    <t>NZDUSD　☆</t>
    <phoneticPr fontId="2"/>
  </si>
  <si>
    <t>2015.09.08.02</t>
    <phoneticPr fontId="2"/>
  </si>
  <si>
    <t>2015.09.08.11</t>
    <phoneticPr fontId="2"/>
  </si>
  <si>
    <t>USDCHF</t>
    <phoneticPr fontId="2"/>
  </si>
  <si>
    <t>４H→１H</t>
    <phoneticPr fontId="2"/>
  </si>
  <si>
    <t>2015.09.09.02</t>
    <phoneticPr fontId="2"/>
  </si>
  <si>
    <t>2015.09.09.03</t>
    <phoneticPr fontId="2"/>
  </si>
  <si>
    <t>D/J+S/Rﾌﾞﾚｲｸ×</t>
    <phoneticPr fontId="2"/>
  </si>
  <si>
    <t>2015.09.09.13</t>
    <phoneticPr fontId="2"/>
  </si>
  <si>
    <t>2015.09.09.17</t>
    <phoneticPr fontId="2"/>
  </si>
  <si>
    <t>建値ﾙｰﾙ破り</t>
    <rPh sb="0" eb="2">
      <t>タテネ</t>
    </rPh>
    <rPh sb="5" eb="6">
      <t>ヤブ</t>
    </rPh>
    <phoneticPr fontId="2"/>
  </si>
  <si>
    <t>GBPUSD</t>
    <phoneticPr fontId="2"/>
  </si>
  <si>
    <t>2015.09.10.09</t>
    <phoneticPr fontId="2"/>
  </si>
  <si>
    <t>2015.09.10.14</t>
    <phoneticPr fontId="2"/>
  </si>
  <si>
    <t>指標発表</t>
    <rPh sb="0" eb="2">
      <t>シヒョウ</t>
    </rPh>
    <rPh sb="2" eb="4">
      <t>ハッピョウ</t>
    </rPh>
    <phoneticPr fontId="2"/>
  </si>
  <si>
    <t>1勝４敗</t>
    <rPh sb="1" eb="2">
      <t>ショウ</t>
    </rPh>
    <rPh sb="3" eb="4">
      <t>ハイ</t>
    </rPh>
    <phoneticPr fontId="2"/>
  </si>
  <si>
    <t>以下9/14～分↓</t>
    <rPh sb="0" eb="2">
      <t>イカ</t>
    </rPh>
    <rPh sb="7" eb="8">
      <t>フン</t>
    </rPh>
    <phoneticPr fontId="2"/>
  </si>
  <si>
    <t>D/J+手法１（遅れ）</t>
    <rPh sb="4" eb="6">
      <t>シュホウ</t>
    </rPh>
    <rPh sb="8" eb="9">
      <t>オク</t>
    </rPh>
    <phoneticPr fontId="2"/>
  </si>
  <si>
    <t>2015.09.14.12</t>
    <phoneticPr fontId="2"/>
  </si>
  <si>
    <t>2015.09.14.14</t>
    <phoneticPr fontId="2"/>
  </si>
  <si>
    <t>１H→15m</t>
    <phoneticPr fontId="2"/>
  </si>
  <si>
    <t>FIB（ﾙｰﾙ破り）</t>
    <rPh sb="7" eb="8">
      <t>ヤブ</t>
    </rPh>
    <phoneticPr fontId="2"/>
  </si>
  <si>
    <t>2015.09.14.16</t>
    <phoneticPr fontId="2"/>
  </si>
  <si>
    <t>2015.09.14.19</t>
    <phoneticPr fontId="2"/>
  </si>
  <si>
    <t>2015.09.15.10</t>
    <phoneticPr fontId="2"/>
  </si>
  <si>
    <t>2015.09.16.06</t>
    <phoneticPr fontId="2"/>
  </si>
  <si>
    <t>僅差</t>
    <rPh sb="0" eb="2">
      <t>キンサ</t>
    </rPh>
    <phoneticPr fontId="2"/>
  </si>
  <si>
    <t>AUDCAD　☆</t>
    <phoneticPr fontId="2"/>
  </si>
  <si>
    <t>D/J+手法2</t>
    <rPh sb="4" eb="6">
      <t>シュホウ</t>
    </rPh>
    <phoneticPr fontId="2"/>
  </si>
  <si>
    <t>2015.09.15.08</t>
    <phoneticPr fontId="2"/>
  </si>
  <si>
    <t>2015.09.15.18</t>
    <phoneticPr fontId="2"/>
  </si>
  <si>
    <t>ﾀﾞｳ</t>
    <phoneticPr fontId="2"/>
  </si>
  <si>
    <t>CADJPY</t>
    <phoneticPr fontId="2"/>
  </si>
  <si>
    <t>ﾚﾝｼﾞ反発</t>
    <rPh sb="4" eb="6">
      <t>ハンパツ</t>
    </rPh>
    <phoneticPr fontId="2"/>
  </si>
  <si>
    <t>2015.09.15.11</t>
    <phoneticPr fontId="2"/>
  </si>
  <si>
    <t>GBPJPY</t>
    <phoneticPr fontId="2"/>
  </si>
  <si>
    <t>wﾎﾞﾄﾑ+ｳｪｯｼﾞ他</t>
    <rPh sb="11" eb="12">
      <t>ホカ</t>
    </rPh>
    <phoneticPr fontId="2"/>
  </si>
  <si>
    <t>2015.09.16.11</t>
    <phoneticPr fontId="2"/>
  </si>
  <si>
    <t>5min</t>
    <phoneticPr fontId="2"/>
  </si>
  <si>
    <t>2015.09.16.17</t>
    <phoneticPr fontId="2"/>
  </si>
  <si>
    <t>ﾀｰｹﾞｯﾄ（ﾀﾞｳ)</t>
    <phoneticPr fontId="2"/>
  </si>
  <si>
    <t>wﾄｯﾌﾟ（早）+PB</t>
    <rPh sb="6" eb="7">
      <t>ハヤ</t>
    </rPh>
    <phoneticPr fontId="2"/>
  </si>
  <si>
    <t>2015.09.17.04</t>
    <phoneticPr fontId="2"/>
  </si>
  <si>
    <t>2015.09.17.06</t>
    <phoneticPr fontId="2"/>
  </si>
  <si>
    <t>AUDUSD</t>
    <phoneticPr fontId="2"/>
  </si>
  <si>
    <t>2015.09.17.10</t>
    <phoneticPr fontId="2"/>
  </si>
  <si>
    <t>2015.09.17.16</t>
    <phoneticPr fontId="2"/>
  </si>
  <si>
    <t>ﾀｰｹﾞｯﾄ</t>
    <phoneticPr fontId="2"/>
  </si>
  <si>
    <t>2015.09.18.03</t>
    <phoneticPr fontId="2"/>
  </si>
  <si>
    <t>2015.09.18.10</t>
    <phoneticPr fontId="2"/>
  </si>
  <si>
    <t>5勝2敗4分</t>
    <rPh sb="1" eb="2">
      <t>ショウ</t>
    </rPh>
    <rPh sb="3" eb="4">
      <t>ハイ</t>
    </rPh>
    <rPh sb="5" eb="6">
      <t>ワ</t>
    </rPh>
    <phoneticPr fontId="2"/>
  </si>
  <si>
    <t>以下9/21～分↓</t>
    <rPh sb="0" eb="2">
      <t>イカ</t>
    </rPh>
    <rPh sb="7" eb="8">
      <t>フン</t>
    </rPh>
    <phoneticPr fontId="2"/>
  </si>
  <si>
    <t>S/R、T/Lﾌﾞﾚｲｸ+EB</t>
    <phoneticPr fontId="2"/>
  </si>
  <si>
    <t>2015.09.21.05</t>
    <phoneticPr fontId="2"/>
  </si>
  <si>
    <t>2015.09.21.06</t>
    <phoneticPr fontId="2"/>
  </si>
  <si>
    <t>S/R、T/Lﾌﾞﾚｲｸ+PB</t>
    <phoneticPr fontId="2"/>
  </si>
  <si>
    <t>2015.09.21.08</t>
    <phoneticPr fontId="2"/>
  </si>
  <si>
    <t>2015.09.21.10</t>
    <phoneticPr fontId="2"/>
  </si>
  <si>
    <t>S/Rﾌﾞﾚｲｸ</t>
    <phoneticPr fontId="2"/>
  </si>
  <si>
    <t>2015.09.21.11</t>
    <phoneticPr fontId="2"/>
  </si>
  <si>
    <t>2015.09.22.13</t>
    <phoneticPr fontId="2"/>
  </si>
  <si>
    <t>FIB61.8</t>
    <phoneticPr fontId="2"/>
  </si>
  <si>
    <t>NZDUSD　</t>
    <phoneticPr fontId="2"/>
  </si>
  <si>
    <t>2015.09.22.18</t>
    <phoneticPr fontId="2"/>
  </si>
  <si>
    <t>2015.09.23.04</t>
    <phoneticPr fontId="2"/>
  </si>
  <si>
    <t>EURCAD</t>
    <phoneticPr fontId="2"/>
  </si>
  <si>
    <t>2015.09.23.05</t>
    <phoneticPr fontId="2"/>
  </si>
  <si>
    <t>2015.09.23.11</t>
    <phoneticPr fontId="2"/>
  </si>
  <si>
    <t>USDCAD</t>
    <phoneticPr fontId="2"/>
  </si>
  <si>
    <t>D/J+ﾀﾞﾌﾞﾙﾄｯﾌﾟ+T/Lﾌﾞﾚｲｸ</t>
    <phoneticPr fontId="2"/>
  </si>
  <si>
    <t>2015.09.23.09</t>
    <phoneticPr fontId="2"/>
  </si>
  <si>
    <t>2015.09.23.15</t>
    <phoneticPr fontId="2"/>
  </si>
  <si>
    <t>S/R+T/Lﾌﾞﾚｲｸ</t>
    <phoneticPr fontId="2"/>
  </si>
  <si>
    <t>S/Rﾌﾞﾚｲｸ▲</t>
    <phoneticPr fontId="2"/>
  </si>
  <si>
    <t>D/J+S/R、T/Lﾌﾞﾚｲｸ</t>
    <phoneticPr fontId="2"/>
  </si>
  <si>
    <t>2015.09.23.23</t>
    <phoneticPr fontId="2"/>
  </si>
  <si>
    <t>2015.09.24.18</t>
    <phoneticPr fontId="2"/>
  </si>
  <si>
    <t>D/J+S/R▲、T/Lﾌﾞﾚｲｸ</t>
    <phoneticPr fontId="2"/>
  </si>
  <si>
    <t>2015.09.24.03</t>
    <phoneticPr fontId="2"/>
  </si>
  <si>
    <t>2015.09.24.09</t>
    <phoneticPr fontId="2"/>
  </si>
  <si>
    <t>GBPAUD</t>
    <phoneticPr fontId="2"/>
  </si>
  <si>
    <t>T/Lﾌﾞﾚｲｸ</t>
    <phoneticPr fontId="2"/>
  </si>
  <si>
    <t>2015.09.24.11</t>
    <phoneticPr fontId="2"/>
  </si>
  <si>
    <t>EURAUD</t>
    <phoneticPr fontId="2"/>
  </si>
  <si>
    <t>S/R+Wﾄｯﾌﾟﾌﾞﾚｲｸ</t>
    <phoneticPr fontId="2"/>
  </si>
  <si>
    <t>2015.09.24.16</t>
    <phoneticPr fontId="2"/>
  </si>
  <si>
    <t>2015.09.24.17</t>
    <phoneticPr fontId="2"/>
  </si>
  <si>
    <t>2015.09.25.02</t>
    <phoneticPr fontId="2"/>
  </si>
  <si>
    <t>2015.09.25.14</t>
    <phoneticPr fontId="2"/>
  </si>
  <si>
    <t>ﾁｬﾈﾙ+S/Rﾌﾞﾚｲｸ</t>
    <phoneticPr fontId="2"/>
  </si>
  <si>
    <t>2015.09.25.10</t>
    <phoneticPr fontId="2"/>
  </si>
  <si>
    <t>2015.09.25.23</t>
    <phoneticPr fontId="2"/>
  </si>
  <si>
    <t>H/S</t>
    <phoneticPr fontId="2"/>
  </si>
  <si>
    <t>4勝8敗1分</t>
    <rPh sb="1" eb="2">
      <t>ショウ</t>
    </rPh>
    <rPh sb="3" eb="4">
      <t>ハイ</t>
    </rPh>
    <rPh sb="5" eb="6">
      <t>ワ</t>
    </rPh>
    <phoneticPr fontId="2"/>
  </si>
  <si>
    <t>以下9/28～分↓</t>
    <rPh sb="0" eb="2">
      <t>イカ</t>
    </rPh>
    <rPh sb="7" eb="8">
      <t>フン</t>
    </rPh>
    <phoneticPr fontId="2"/>
  </si>
  <si>
    <t>D/J＋PB</t>
    <phoneticPr fontId="2"/>
  </si>
  <si>
    <t>2015.09.28.15</t>
    <phoneticPr fontId="2"/>
  </si>
  <si>
    <t>5m</t>
    <phoneticPr fontId="2"/>
  </si>
  <si>
    <t>D/J＋S/Rﾌﾞﾚｲｸ</t>
    <phoneticPr fontId="2"/>
  </si>
  <si>
    <t>2015.09.28.16</t>
    <phoneticPr fontId="2"/>
  </si>
  <si>
    <t>D/J+H/S+S/Rﾌﾞﾚｲｸ</t>
    <phoneticPr fontId="2"/>
  </si>
  <si>
    <t>2015.09.29.10</t>
    <phoneticPr fontId="2"/>
  </si>
  <si>
    <t>2015.09.29.14</t>
    <phoneticPr fontId="2"/>
  </si>
  <si>
    <t>2015.09.30.04</t>
    <phoneticPr fontId="2"/>
  </si>
  <si>
    <t>2015.10.01.10</t>
    <phoneticPr fontId="2"/>
  </si>
  <si>
    <t>逆D/J＋MAﾌﾞﾚｲｸ</t>
    <rPh sb="0" eb="1">
      <t>ギャク</t>
    </rPh>
    <phoneticPr fontId="2"/>
  </si>
  <si>
    <t>NZDJPY</t>
    <phoneticPr fontId="2"/>
  </si>
  <si>
    <t>S/R＋ﾚﾝｼﾞﾌﾞﾚｲｸ</t>
    <phoneticPr fontId="2"/>
  </si>
  <si>
    <t>2015.10.01.09</t>
    <phoneticPr fontId="2"/>
  </si>
  <si>
    <t>2015.10.01.12</t>
    <phoneticPr fontId="2"/>
  </si>
  <si>
    <t>F/S</t>
    <phoneticPr fontId="2"/>
  </si>
  <si>
    <t>2015.10.01.18</t>
    <phoneticPr fontId="2"/>
  </si>
  <si>
    <t>2015.10.02.01</t>
    <phoneticPr fontId="2"/>
  </si>
  <si>
    <t>2015.10.02.05</t>
    <phoneticPr fontId="2"/>
  </si>
  <si>
    <t>2015.10.02.15</t>
    <phoneticPr fontId="2"/>
  </si>
  <si>
    <t>１勝４敗３分</t>
    <rPh sb="1" eb="2">
      <t>ショウ</t>
    </rPh>
    <rPh sb="3" eb="4">
      <t>ハイ</t>
    </rPh>
    <rPh sb="5" eb="6">
      <t>ワケ</t>
    </rPh>
    <phoneticPr fontId="2"/>
  </si>
  <si>
    <t>９月</t>
    <rPh sb="1" eb="2">
      <t>ガツ</t>
    </rPh>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</si>
  <si>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</si>
  <si>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</si>
  <si>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</si>
  <si>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</si>
  <si>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</si>
  <si>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</si>
  <si>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</si>
  <si>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</si>
  <si>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</si>
  <si>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</si>
  <si>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</si>
  <si>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</si>
  <si>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</si>
  <si>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</si>
  <si>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</si>
  <si>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</si>
  <si>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</si>
  <si>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</si>
  <si>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</si>
  <si>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</si>
  <si>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</si>
  <si>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</si>
  <si>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</si>
  <si>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</si>
  <si>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</si>
  <si>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</si>
  <si>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</si>
  <si>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</si>
  <si>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</si>
  <si>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</si>
  <si>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</si>
  <si>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いろいろ</t>
    <phoneticPr fontId="2"/>
  </si>
  <si>
    <t>2015.08.17～</t>
    <phoneticPr fontId="2"/>
  </si>
  <si>
    <t>とりあえずデモトレやってみる。
初期資金１００万円、リスク３％、複利で運用</t>
    <rPh sb="16" eb="18">
      <t>ショキ</t>
    </rPh>
    <rPh sb="18" eb="20">
      <t>シキン</t>
    </rPh>
    <rPh sb="23" eb="24">
      <t>マン</t>
    </rPh>
    <rPh sb="24" eb="25">
      <t>エン</t>
    </rPh>
    <rPh sb="32" eb="34">
      <t>フクリ</t>
    </rPh>
    <rPh sb="35" eb="37">
      <t>ウンヨウ</t>
    </rPh>
    <phoneticPr fontId="2"/>
  </si>
  <si>
    <t>No.1の続き</t>
    <rPh sb="5" eb="6">
      <t>ツヅ</t>
    </rPh>
    <phoneticPr fontId="2"/>
  </si>
  <si>
    <t>2015.08.31～</t>
    <phoneticPr fontId="2"/>
  </si>
  <si>
    <r>
      <t>検証で成績が良かったルールを適用。</t>
    </r>
    <r>
      <rPr>
        <sz val="11"/>
        <color indexed="8"/>
        <rFont val="ＭＳ Ｐゴシック"/>
        <family val="3"/>
        <charset val="128"/>
      </rPr>
      <t xml:space="preserve">
・ダイバージェンスに仕掛け１，２を組み合わせる
・MACDが逆行・反転すれば条件解除。
・条件継続中は一度損切りしても再度仕掛け１，２が出れば再エントリーする
・初動時20pips利益が乗ればストップ建値移動
・トレーリングはEB、PB
・S/Lは１０pipsの余裕を見る←9/18追記：余裕とれてない
・チャートパターンも意識しながら進める
・FIBトレードも追加（9/14～）</t>
    </r>
    <rPh sb="0" eb="2">
      <t>ケンショウ</t>
    </rPh>
    <rPh sb="3" eb="5">
      <t>セイセキ</t>
    </rPh>
    <rPh sb="6" eb="7">
      <t>ヨ</t>
    </rPh>
    <rPh sb="14" eb="16">
      <t>テキヨウ</t>
    </rPh>
    <rPh sb="48" eb="50">
      <t>ギャッコウ</t>
    </rPh>
    <rPh sb="51" eb="53">
      <t>ハンテン</t>
    </rPh>
    <rPh sb="56" eb="58">
      <t>ジョウケン</t>
    </rPh>
    <rPh sb="58" eb="60">
      <t>カイジョ</t>
    </rPh>
    <rPh sb="63" eb="65">
      <t>ジョウケン</t>
    </rPh>
    <rPh sb="65" eb="68">
      <t>ケイゾクチュウ</t>
    </rPh>
    <rPh sb="69" eb="71">
      <t>イチド</t>
    </rPh>
    <rPh sb="71" eb="72">
      <t>ソン</t>
    </rPh>
    <rPh sb="72" eb="73">
      <t>ギ</t>
    </rPh>
    <rPh sb="77" eb="79">
      <t>サイド</t>
    </rPh>
    <rPh sb="79" eb="81">
      <t>シカ</t>
    </rPh>
    <rPh sb="86" eb="87">
      <t>デ</t>
    </rPh>
    <rPh sb="89" eb="90">
      <t>サイ</t>
    </rPh>
    <rPh sb="159" eb="161">
      <t>ツイキ</t>
    </rPh>
    <rPh sb="162" eb="164">
      <t>ヨユウ</t>
    </rPh>
    <rPh sb="199" eb="201">
      <t>ツイカ</t>
    </rPh>
    <phoneticPr fontId="2"/>
  </si>
  <si>
    <t>USDJPY</t>
    <phoneticPr fontId="2"/>
  </si>
  <si>
    <t>1日</t>
    <rPh sb="1" eb="2">
      <t>ニチ</t>
    </rPh>
    <phoneticPr fontId="2"/>
  </si>
  <si>
    <t>1日</t>
    <rPh sb="1" eb="2">
      <t>ヒ</t>
    </rPh>
    <phoneticPr fontId="2"/>
  </si>
  <si>
    <t>※印は画像アリ</t>
    <phoneticPr fontId="2"/>
  </si>
  <si>
    <t>デモトレ通貨</t>
    <rPh sb="4" eb="6">
      <t>ツウカ</t>
    </rPh>
    <phoneticPr fontId="2"/>
  </si>
  <si>
    <t>2015.10.05～</t>
    <phoneticPr fontId="2"/>
  </si>
  <si>
    <t>新手法＋limit指値</t>
    <rPh sb="0" eb="3">
      <t>シンシュホウ</t>
    </rPh>
    <rPh sb="9" eb="11">
      <t>サシネ</t>
    </rPh>
    <phoneticPr fontId="2"/>
  </si>
  <si>
    <t>S/R+ﾚﾝｼﾞﾌﾞﾚｲｸ</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</si>
  <si>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</si>
  <si>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</si>
  <si>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</si>
  <si>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NZDUSD</t>
    <phoneticPr fontId="2"/>
  </si>
  <si>
    <t>USDCAD</t>
    <phoneticPr fontId="2"/>
  </si>
  <si>
    <t>AUDJPY</t>
    <phoneticPr fontId="2"/>
  </si>
  <si>
    <t>GBPUSD</t>
    <phoneticPr fontId="2"/>
  </si>
  <si>
    <t>sell</t>
    <phoneticPr fontId="2"/>
  </si>
  <si>
    <t>buy</t>
    <phoneticPr fontId="2"/>
  </si>
  <si>
    <t>2015.10.06.17</t>
    <phoneticPr fontId="2"/>
  </si>
  <si>
    <t>2015.10.06.12</t>
    <phoneticPr fontId="2"/>
  </si>
  <si>
    <t>2015.10.07.06</t>
    <phoneticPr fontId="2"/>
  </si>
  <si>
    <t>2015.10.02.03</t>
    <phoneticPr fontId="2"/>
  </si>
  <si>
    <t>15m</t>
    <phoneticPr fontId="2"/>
  </si>
  <si>
    <t>2015.10.06.18</t>
    <phoneticPr fontId="2"/>
  </si>
  <si>
    <t>2015.10.07.16</t>
    <phoneticPr fontId="2"/>
  </si>
  <si>
    <t>loss</t>
    <phoneticPr fontId="2"/>
  </si>
  <si>
    <t>win</t>
    <phoneticPr fontId="2"/>
  </si>
  <si>
    <t>ﾀﾞｳ</t>
    <phoneticPr fontId="2"/>
  </si>
  <si>
    <t>S/R+D/J＋ﾚﾝｼﾞﾌﾞﾚｲｸ</t>
  </si>
  <si>
    <t>S/R+D/J＋ﾚﾝｼﾞﾌﾞﾚｲｸ</t>
    <phoneticPr fontId="2"/>
  </si>
  <si>
    <t>AUDNZD</t>
    <phoneticPr fontId="2"/>
  </si>
  <si>
    <t>2015.10.08.11</t>
    <phoneticPr fontId="2"/>
  </si>
  <si>
    <t>2015.10.08.21</t>
    <phoneticPr fontId="2"/>
  </si>
  <si>
    <t>指標発表</t>
    <rPh sb="0" eb="2">
      <t>シヒョウ</t>
    </rPh>
    <rPh sb="2" eb="4">
      <t>ハッピョウ</t>
    </rPh>
    <phoneticPr fontId="2"/>
  </si>
  <si>
    <t>loss</t>
    <phoneticPr fontId="2"/>
  </si>
  <si>
    <t>エントリー、L/Sにはスプレッドの加算を忘れない</t>
    <rPh sb="17" eb="19">
      <t>カサン</t>
    </rPh>
    <rPh sb="20" eb="21">
      <t>ワス</t>
    </rPh>
    <phoneticPr fontId="2"/>
  </si>
  <si>
    <t>絶対こちらの意思では相場は動かない！！</t>
  </si>
  <si>
    <t>D/Jの確認を忘れない</t>
    <rPh sb="4" eb="6">
      <t>カクニン</t>
    </rPh>
    <rPh sb="7" eb="8">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</si>
  <si>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</si>
  <si>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</si>
  <si>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</si>
  <si>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</si>
  <si>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</si>
  <si>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</si>
  <si>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</si>
  <si>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</si>
  <si>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</si>
  <si>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</si>
  <si>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</si>
  <si>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保有中は指標発表に特に注意！</t>
    <rPh sb="0" eb="3">
      <t>ホユウチュウ</t>
    </rPh>
    <rPh sb="4" eb="6">
      <t>シヒョウ</t>
    </rPh>
    <rPh sb="6" eb="8">
      <t>ハッピョウ</t>
    </rPh>
    <rPh sb="9" eb="10">
      <t>トク</t>
    </rPh>
    <rPh sb="11" eb="13">
      <t>チュウイ</t>
    </rPh>
    <phoneticPr fontId="2"/>
  </si>
  <si>
    <t>当初設定したL/S幅を広げない！！　
負けを認める。</t>
    <phoneticPr fontId="2"/>
  </si>
  <si>
    <t>掟</t>
    <rPh sb="0" eb="1">
      <t>オキテ</t>
    </rPh>
    <phoneticPr fontId="2"/>
  </si>
  <si>
    <t>常にどちら方向へも動く想定が必要！</t>
    <phoneticPr fontId="2"/>
  </si>
  <si>
    <t>10/5～分↓</t>
    <rPh sb="5" eb="6">
      <t>フン</t>
    </rPh>
    <phoneticPr fontId="2"/>
  </si>
  <si>
    <t>1勝４敗</t>
    <rPh sb="1" eb="2">
      <t>ショウ</t>
    </rPh>
    <rPh sb="3" eb="4">
      <t>ハイ</t>
    </rPh>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</si>
  <si>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</si>
  <si>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○新手法（１．FIBトレード法が適用できる環境で　２．78.6まで戻った時に　３．D/J、チャートパターン等の根拠があればIN。ストップは０．００）
○FS
上記２つを主なトレードルールとして用いる。
・決済タイミングは基本はFIB38.2。リアルタイムで追える時はダウをメインにPB,EBでトレーリングして相場観を磨く。</t>
    <rPh sb="1" eb="2">
      <t>シン</t>
    </rPh>
    <rPh sb="2" eb="4">
      <t>シュホウ</t>
    </rPh>
    <rPh sb="14" eb="15">
      <t>ホウ</t>
    </rPh>
    <rPh sb="16" eb="18">
      <t>テキヨウ</t>
    </rPh>
    <rPh sb="21" eb="23">
      <t>カンキョウ</t>
    </rPh>
    <rPh sb="33" eb="34">
      <t>モド</t>
    </rPh>
    <rPh sb="36" eb="37">
      <t>トキ</t>
    </rPh>
    <rPh sb="53" eb="54">
      <t>ナド</t>
    </rPh>
    <rPh sb="55" eb="57">
      <t>コンキョ</t>
    </rPh>
    <rPh sb="79" eb="81">
      <t>ジョウキ</t>
    </rPh>
    <rPh sb="84" eb="85">
      <t>オモ</t>
    </rPh>
    <rPh sb="96" eb="97">
      <t>モチ</t>
    </rPh>
    <rPh sb="102" eb="104">
      <t>ケッサイ</t>
    </rPh>
    <rPh sb="110" eb="112">
      <t>キホン</t>
    </rPh>
    <rPh sb="128" eb="129">
      <t>オ</t>
    </rPh>
    <rPh sb="131" eb="132">
      <t>トキ</t>
    </rPh>
    <rPh sb="154" eb="157">
      <t>ソウバカン</t>
    </rPh>
    <rPh sb="158" eb="159">
      <t>ミガ</t>
    </rPh>
    <phoneticPr fontId="2"/>
  </si>
  <si>
    <t>10/12～分↓</t>
    <rPh sb="6" eb="7">
      <t>フン</t>
    </rPh>
    <phoneticPr fontId="2"/>
  </si>
  <si>
    <t>EURAUD</t>
    <phoneticPr fontId="2"/>
  </si>
  <si>
    <t>NZDJPY</t>
    <phoneticPr fontId="2"/>
  </si>
  <si>
    <t>sell</t>
    <phoneticPr fontId="2"/>
  </si>
  <si>
    <t>sell</t>
    <phoneticPr fontId="2"/>
  </si>
  <si>
    <t>4H→15m</t>
    <phoneticPr fontId="2"/>
  </si>
  <si>
    <t>ﾁｬﾈﾙﾌﾞﾚｲｸ＋FS</t>
    <phoneticPr fontId="2"/>
  </si>
  <si>
    <t>S/R+D/J+ﾚﾝｼﾞﾌﾞﾚｲｸ</t>
    <phoneticPr fontId="2"/>
  </si>
  <si>
    <t>1H→15m</t>
    <phoneticPr fontId="2"/>
  </si>
  <si>
    <t>15m</t>
    <phoneticPr fontId="2"/>
  </si>
  <si>
    <t>自分ﾙｰﾙ-根拠少</t>
    <rPh sb="0" eb="2">
      <t>ジブン</t>
    </rPh>
    <rPh sb="6" eb="8">
      <t>コンキョ</t>
    </rPh>
    <rPh sb="8" eb="9">
      <t>スク</t>
    </rPh>
    <phoneticPr fontId="2"/>
  </si>
  <si>
    <t>GBPAUD</t>
    <phoneticPr fontId="2"/>
  </si>
  <si>
    <t>FIB</t>
    <phoneticPr fontId="2"/>
  </si>
  <si>
    <t>１H</t>
    <phoneticPr fontId="2"/>
  </si>
  <si>
    <t>2015.10.12.03</t>
    <phoneticPr fontId="2"/>
  </si>
  <si>
    <t>2015.10.12.17</t>
    <phoneticPr fontId="2"/>
  </si>
  <si>
    <t>2015.10.14.12</t>
    <phoneticPr fontId="2"/>
  </si>
  <si>
    <t>2015.10.05.21</t>
    <phoneticPr fontId="2"/>
  </si>
  <si>
    <t>2015.10.14.17</t>
    <phoneticPr fontId="2"/>
  </si>
  <si>
    <t>drw</t>
    <phoneticPr fontId="2"/>
  </si>
  <si>
    <t>2015.10.12.18</t>
    <phoneticPr fontId="2"/>
  </si>
  <si>
    <t>2015.10.14.15</t>
    <phoneticPr fontId="2"/>
  </si>
  <si>
    <t>2015.10.13.13</t>
    <phoneticPr fontId="2"/>
  </si>
  <si>
    <t>win</t>
    <phoneticPr fontId="2"/>
  </si>
  <si>
    <t>loss</t>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</si>
  <si>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</si>
  <si>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</si>
  <si>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</si>
  <si>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</si>
  <si>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</si>
  <si>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NZDJPY</t>
    <phoneticPr fontId="2"/>
  </si>
  <si>
    <t>NZDUSD</t>
    <phoneticPr fontId="2"/>
  </si>
  <si>
    <t>EURUSD</t>
    <phoneticPr fontId="2"/>
  </si>
  <si>
    <t>S/R+D/J+PB</t>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</si>
  <si>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</si>
  <si>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FS</t>
    <phoneticPr fontId="2"/>
  </si>
  <si>
    <t>2015.10.14.16</t>
    <phoneticPr fontId="2"/>
  </si>
  <si>
    <t>2015.10.15.02</t>
    <phoneticPr fontId="2"/>
  </si>
  <si>
    <t>2015.10.15.15</t>
    <phoneticPr fontId="2"/>
  </si>
  <si>
    <t>2015.10.15.11</t>
    <phoneticPr fontId="2"/>
  </si>
  <si>
    <t>2015.10.15.03</t>
    <phoneticPr fontId="2"/>
  </si>
  <si>
    <t>2015.10.15.21</t>
    <phoneticPr fontId="2"/>
  </si>
  <si>
    <t>ダウ</t>
    <phoneticPr fontId="2"/>
  </si>
  <si>
    <t>D/J</t>
    <phoneticPr fontId="2"/>
  </si>
  <si>
    <t>２勝５敗１分</t>
    <rPh sb="1" eb="2">
      <t>ショウ</t>
    </rPh>
    <rPh sb="3" eb="4">
      <t>ハイ</t>
    </rPh>
    <rPh sb="5" eb="6">
      <t>ワ</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</si>
  <si>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</si>
  <si>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</si>
  <si>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</si>
  <si>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</si>
  <si>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</si>
  <si>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</si>
  <si>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</si>
  <si>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</si>
  <si>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</si>
  <si>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</si>
  <si>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</si>
  <si>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</si>
  <si>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</si>
  <si>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</si>
  <si>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</si>
  <si>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</si>
  <si>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8"/>
  </si>
  <si>
    <t>平均損失</t>
    <rPh sb="0" eb="2">
      <t>ヘイキン</t>
    </rPh>
    <rPh sb="2" eb="4">
      <t>ソンシツ</t>
    </rPh>
    <phoneticPr fontId="18"/>
  </si>
  <si>
    <t>ﾘｽｸ
ﾘﾜｰﾄﾞ
ﾚｼｵ</t>
    <phoneticPr fontId="18"/>
  </si>
  <si>
    <t>ﾌﾟﾛﾌｨｯﾄ
ﾌｧｸﾀｰ</t>
    <phoneticPr fontId="18"/>
  </si>
  <si>
    <t>合計</t>
    <rPh sb="0" eb="2">
      <t>ゴウケイ</t>
    </rPh>
    <phoneticPr fontId="18"/>
  </si>
  <si>
    <t>全通貨平均</t>
    <rPh sb="0" eb="1">
      <t>ゼン</t>
    </rPh>
    <rPh sb="1" eb="3">
      <t>ツウカ</t>
    </rPh>
    <rPh sb="3" eb="5">
      <t>ヘイキン</t>
    </rPh>
    <phoneticPr fontId="18"/>
  </si>
  <si>
    <t>全通貨ペア
平均勝率</t>
    <rPh sb="0" eb="1">
      <t>ゼン</t>
    </rPh>
    <rPh sb="1" eb="3">
      <t>ツウカ</t>
    </rPh>
    <rPh sb="6" eb="8">
      <t>ヘイキン</t>
    </rPh>
    <rPh sb="8" eb="10">
      <t>ショウリツ</t>
    </rPh>
    <phoneticPr fontId="18"/>
  </si>
  <si>
    <t>ﾘｽｸ
ﾘﾜｰﾄ
ﾞﾚｼｵ</t>
    <phoneticPr fontId="18"/>
  </si>
  <si>
    <t>トレード時勝率</t>
  </si>
  <si>
    <t>EURGBP</t>
  </si>
  <si>
    <t>USDJPY</t>
  </si>
  <si>
    <t>EURUSD</t>
  </si>
  <si>
    <t>AUDJPY</t>
  </si>
  <si>
    <t>CADJPY</t>
  </si>
  <si>
    <t>GBPJPY</t>
  </si>
  <si>
    <t>USDCAD</t>
  </si>
  <si>
    <t>USDCHF</t>
  </si>
  <si>
    <t>GBPUSD</t>
  </si>
  <si>
    <t>AUDUSD</t>
  </si>
  <si>
    <t>EURJPY　☆</t>
    <phoneticPr fontId="2"/>
  </si>
  <si>
    <t>EURJPY</t>
  </si>
  <si>
    <t>EURJPY</t>
    <phoneticPr fontId="2"/>
  </si>
  <si>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</si>
  <si>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</si>
  <si>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</si>
  <si>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</si>
  <si>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</si>
  <si>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</si>
  <si>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</si>
  <si>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</si>
  <si>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</si>
  <si>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</si>
  <si>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</si>
  <si>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</si>
  <si>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</si>
  <si>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</si>
  <si>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</si>
  <si>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</si>
  <si>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</si>
  <si>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</si>
  <si>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</si>
  <si>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EURJPY</t>
    <phoneticPr fontId="2"/>
  </si>
  <si>
    <t>EURJPY</t>
    <phoneticPr fontId="2"/>
  </si>
  <si>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</si>
  <si>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</si>
  <si>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8"/>
  </si>
  <si>
    <t>集計</t>
    <rPh sb="0" eb="2">
      <t>シュウケイ</t>
    </rPh>
    <phoneticPr fontId="18"/>
  </si>
  <si>
    <t>利益合計</t>
    <rPh sb="0" eb="2">
      <t>リエキ</t>
    </rPh>
    <rPh sb="2" eb="4">
      <t>ゴウケイ</t>
    </rPh>
    <phoneticPr fontId="18"/>
  </si>
  <si>
    <t>損失合計</t>
    <rPh sb="0" eb="2">
      <t>ソンシツ</t>
    </rPh>
    <rPh sb="2" eb="4">
      <t>ゴウケイ</t>
    </rPh>
    <phoneticPr fontId="18"/>
  </si>
  <si>
    <t>損益</t>
    <rPh sb="0" eb="2">
      <t>ソンエキ</t>
    </rPh>
    <phoneticPr fontId="18"/>
  </si>
  <si>
    <t>注文総数
（取消含）</t>
    <rPh sb="0" eb="2">
      <t>チュウモン</t>
    </rPh>
    <rPh sb="2" eb="4">
      <t>ソウスウ</t>
    </rPh>
    <rPh sb="6" eb="7">
      <t>ト</t>
    </rPh>
    <rPh sb="7" eb="8">
      <t>ケ</t>
    </rPh>
    <rPh sb="8" eb="9">
      <t>フク</t>
    </rPh>
    <phoneticPr fontId="18"/>
  </si>
  <si>
    <t>勝ち数</t>
    <rPh sb="0" eb="1">
      <t>カ</t>
    </rPh>
    <rPh sb="2" eb="3">
      <t>スウ</t>
    </rPh>
    <phoneticPr fontId="18"/>
  </si>
  <si>
    <t>負け数</t>
    <rPh sb="0" eb="1">
      <t>マ</t>
    </rPh>
    <rPh sb="2" eb="3">
      <t>スウ</t>
    </rPh>
    <phoneticPr fontId="18"/>
  </si>
  <si>
    <t>引分数</t>
    <rPh sb="0" eb="2">
      <t>ヒキワケ</t>
    </rPh>
    <rPh sb="2" eb="3">
      <t>スウ</t>
    </rPh>
    <phoneticPr fontId="18"/>
  </si>
  <si>
    <t>勝率</t>
    <rPh sb="0" eb="2">
      <t>ショウリツ</t>
    </rPh>
    <phoneticPr fontId="18"/>
  </si>
  <si>
    <t>資金合計</t>
    <rPh sb="0" eb="2">
      <t>シキン</t>
    </rPh>
    <rPh sb="2" eb="4">
      <t>ゴウケイ</t>
    </rPh>
    <phoneticPr fontId="18"/>
  </si>
  <si>
    <t>初期資金額</t>
    <rPh sb="0" eb="2">
      <t>ショキ</t>
    </rPh>
    <rPh sb="2" eb="4">
      <t>シキン</t>
    </rPh>
    <rPh sb="4" eb="5">
      <t>ガク</t>
    </rPh>
    <phoneticPr fontId="18"/>
  </si>
  <si>
    <t>現在資金</t>
    <rPh sb="0" eb="2">
      <t>ゲンザイ</t>
    </rPh>
    <rPh sb="2" eb="4">
      <t>シキン</t>
    </rPh>
    <phoneticPr fontId="18"/>
  </si>
  <si>
    <t>開始日</t>
    <rPh sb="0" eb="3">
      <t>カイシビ</t>
    </rPh>
    <phoneticPr fontId="18"/>
  </si>
  <si>
    <t>資金と開始日</t>
    <rPh sb="0" eb="2">
      <t>シキン</t>
    </rPh>
    <rPh sb="3" eb="6">
      <t>カイシビ</t>
    </rPh>
    <phoneticPr fontId="18"/>
  </si>
  <si>
    <t>ﾘｽｸ
ﾘﾜｰﾄﾞ
ﾚｼｵ</t>
    <phoneticPr fontId="18"/>
  </si>
  <si>
    <t>ﾌﾟﾛﾌｨｯﾄ
ﾌｧｸﾀｰ</t>
    <phoneticPr fontId="18"/>
  </si>
  <si>
    <t>2015.10.07.07</t>
    <phoneticPr fontId="2"/>
  </si>
  <si>
    <t>2015.08.31.04</t>
    <phoneticPr fontId="2"/>
  </si>
  <si>
    <t>loss</t>
    <phoneticPr fontId="2"/>
  </si>
  <si>
    <t>10/19～分↓</t>
    <rPh sb="6" eb="7">
      <t>フン</t>
    </rPh>
    <phoneticPr fontId="2"/>
  </si>
  <si>
    <t>AUDCAD</t>
    <phoneticPr fontId="2"/>
  </si>
  <si>
    <t>NZDJPY</t>
    <phoneticPr fontId="2"/>
  </si>
  <si>
    <t>AUDNZD</t>
    <phoneticPr fontId="2"/>
  </si>
  <si>
    <t>EURGBP</t>
    <phoneticPr fontId="2"/>
  </si>
  <si>
    <t>GBPJPY</t>
    <phoneticPr fontId="2"/>
  </si>
  <si>
    <t>GBPCHF</t>
    <phoneticPr fontId="2"/>
  </si>
  <si>
    <t>GBPNZD</t>
    <phoneticPr fontId="2"/>
  </si>
  <si>
    <t>sell</t>
    <phoneticPr fontId="2"/>
  </si>
  <si>
    <t>buy</t>
    <phoneticPr fontId="2"/>
  </si>
  <si>
    <t>2015.10.16.06</t>
    <phoneticPr fontId="2"/>
  </si>
  <si>
    <t>2015.10.16.01</t>
    <phoneticPr fontId="2"/>
  </si>
  <si>
    <t>2015.10.19.18</t>
    <phoneticPr fontId="2"/>
  </si>
  <si>
    <t>2015.10.21.12</t>
    <phoneticPr fontId="2"/>
  </si>
  <si>
    <t>2015.10.21.17</t>
    <phoneticPr fontId="2"/>
  </si>
  <si>
    <t>2015.10.22.06</t>
    <phoneticPr fontId="2"/>
  </si>
  <si>
    <t>2015.10.23.02</t>
    <phoneticPr fontId="2"/>
  </si>
  <si>
    <t>2015.10.23.04</t>
    <phoneticPr fontId="2"/>
  </si>
  <si>
    <t>2015.10.23.07</t>
    <phoneticPr fontId="2"/>
  </si>
  <si>
    <t>2015.10.22.12</t>
    <phoneticPr fontId="2"/>
  </si>
  <si>
    <t>2015.10.19.19</t>
    <phoneticPr fontId="2"/>
  </si>
  <si>
    <t>2015.10.20.10</t>
    <phoneticPr fontId="2"/>
  </si>
  <si>
    <t>2015.10.21.10</t>
    <phoneticPr fontId="2"/>
  </si>
  <si>
    <t>2015.10.21.20</t>
    <phoneticPr fontId="2"/>
  </si>
  <si>
    <t>2015.10.22.09</t>
    <phoneticPr fontId="2"/>
  </si>
  <si>
    <t>2015.10.22.07</t>
    <phoneticPr fontId="2"/>
  </si>
  <si>
    <t>2015.10.23.03</t>
    <phoneticPr fontId="2"/>
  </si>
  <si>
    <t>2015.10.23.14</t>
    <phoneticPr fontId="2"/>
  </si>
  <si>
    <t>2015.10.23.10</t>
    <phoneticPr fontId="2"/>
  </si>
  <si>
    <t>loss</t>
    <phoneticPr fontId="2"/>
  </si>
  <si>
    <t>win</t>
    <phoneticPr fontId="2"/>
  </si>
  <si>
    <t>win</t>
    <phoneticPr fontId="2"/>
  </si>
  <si>
    <t>drw</t>
    <phoneticPr fontId="2"/>
  </si>
  <si>
    <t>３勝６敗1分</t>
    <rPh sb="1" eb="2">
      <t>ショウ</t>
    </rPh>
    <rPh sb="3" eb="4">
      <t>ハイ</t>
    </rPh>
    <rPh sb="5" eb="6">
      <t>ワ</t>
    </rPh>
    <phoneticPr fontId="2"/>
  </si>
  <si>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</si>
  <si>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</si>
  <si>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</si>
  <si>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4H</t>
    <phoneticPr fontId="2"/>
  </si>
  <si>
    <t>1H</t>
    <phoneticPr fontId="2"/>
  </si>
  <si>
    <t>4H→1H</t>
    <phoneticPr fontId="2"/>
  </si>
  <si>
    <t>1D→1H</t>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</si>
  <si>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</si>
  <si>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1H→15m</t>
    <phoneticPr fontId="2"/>
  </si>
  <si>
    <t>１H→15m</t>
    <phoneticPr fontId="2"/>
  </si>
  <si>
    <t>4H→1H</t>
    <phoneticPr fontId="2"/>
  </si>
  <si>
    <t>１H</t>
    <phoneticPr fontId="2"/>
  </si>
  <si>
    <t>GBPJPY</t>
    <phoneticPr fontId="2"/>
  </si>
  <si>
    <t>NZDUSD</t>
    <phoneticPr fontId="2"/>
  </si>
  <si>
    <t>EURJPY</t>
    <phoneticPr fontId="2"/>
  </si>
  <si>
    <t>USDCHF</t>
    <phoneticPr fontId="2"/>
  </si>
  <si>
    <t>CHFJPY</t>
    <phoneticPr fontId="2"/>
  </si>
  <si>
    <t>AUDNZD</t>
    <phoneticPr fontId="2"/>
  </si>
  <si>
    <t>sell</t>
    <phoneticPr fontId="2"/>
  </si>
  <si>
    <t>buy</t>
    <phoneticPr fontId="2"/>
  </si>
  <si>
    <t>buy</t>
    <phoneticPr fontId="2"/>
  </si>
  <si>
    <t>2015.10.26.01</t>
    <phoneticPr fontId="2"/>
  </si>
  <si>
    <t>2015.10.26.16</t>
    <phoneticPr fontId="2"/>
  </si>
  <si>
    <t>2015.10.27.06</t>
    <phoneticPr fontId="2"/>
  </si>
  <si>
    <t>2015.10.28.10</t>
    <phoneticPr fontId="2"/>
  </si>
  <si>
    <t>2015.10.28.03</t>
    <phoneticPr fontId="2"/>
  </si>
  <si>
    <t>2015.10.28.16</t>
    <phoneticPr fontId="2"/>
  </si>
  <si>
    <t>2015.10.29.20</t>
    <phoneticPr fontId="2"/>
  </si>
  <si>
    <t>2015.10.30.00</t>
    <phoneticPr fontId="2"/>
  </si>
  <si>
    <t>win</t>
    <phoneticPr fontId="2"/>
  </si>
  <si>
    <t>loss</t>
    <phoneticPr fontId="2"/>
  </si>
  <si>
    <t>drw</t>
    <phoneticPr fontId="2"/>
  </si>
  <si>
    <t>１勝６敗２分</t>
    <rPh sb="1" eb="2">
      <t>ショウ</t>
    </rPh>
    <rPh sb="3" eb="4">
      <t>ハイ</t>
    </rPh>
    <rPh sb="5" eb="6">
      <t>ワ</t>
    </rPh>
    <phoneticPr fontId="2"/>
  </si>
  <si>
    <t>10/26～分↓</t>
    <rPh sb="6" eb="7">
      <t>フン</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</si>
  <si>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</si>
  <si>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</si>
  <si>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</si>
  <si>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天井、大底のみ狙うようにする</t>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</si>
  <si>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</si>
  <si>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</si>
  <si>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</si>
  <si>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</si>
  <si>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</si>
  <si>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</si>
  <si>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</si>
  <si>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</si>
  <si>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</si>
  <si>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</si>
  <si>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</si>
  <si>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</si>
  <si>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11/02～分↓</t>
    <rPh sb="6" eb="7">
      <t>フン</t>
    </rPh>
    <phoneticPr fontId="2"/>
  </si>
  <si>
    <t>GBPUSD</t>
    <phoneticPr fontId="2"/>
  </si>
  <si>
    <t>buy</t>
    <phoneticPr fontId="2"/>
  </si>
  <si>
    <t>2015.11.02.08</t>
    <phoneticPr fontId="2"/>
  </si>
  <si>
    <t>win</t>
    <phoneticPr fontId="2"/>
  </si>
  <si>
    <t>2015.11.02.14</t>
    <phoneticPr fontId="2"/>
  </si>
  <si>
    <t>1H</t>
    <phoneticPr fontId="2"/>
  </si>
  <si>
    <t>S/R</t>
    <phoneticPr fontId="2"/>
  </si>
  <si>
    <t>1D→1H</t>
    <phoneticPr fontId="2"/>
  </si>
  <si>
    <t>USDCHF</t>
    <phoneticPr fontId="2"/>
  </si>
  <si>
    <t>sell</t>
    <phoneticPr fontId="2"/>
  </si>
  <si>
    <t>4H→1H×</t>
    <phoneticPr fontId="2"/>
  </si>
  <si>
    <t>2015.11.02.18</t>
    <phoneticPr fontId="2"/>
  </si>
  <si>
    <t>2015.11.02.21</t>
    <phoneticPr fontId="2"/>
  </si>
  <si>
    <t>loss</t>
    <phoneticPr fontId="2"/>
  </si>
  <si>
    <t>SS+EB</t>
    <phoneticPr fontId="2"/>
  </si>
  <si>
    <t>FS×</t>
    <phoneticPr fontId="2"/>
  </si>
  <si>
    <t>GBPJPY</t>
    <phoneticPr fontId="2"/>
  </si>
  <si>
    <t>GBPUSD</t>
    <phoneticPr fontId="2"/>
  </si>
  <si>
    <t>2015.11.03.14</t>
    <phoneticPr fontId="2"/>
  </si>
  <si>
    <t>2015.11.03.13</t>
    <phoneticPr fontId="2"/>
  </si>
  <si>
    <t>2015.11.04.07</t>
    <phoneticPr fontId="2"/>
  </si>
  <si>
    <t>2015.11.03.17</t>
    <phoneticPr fontId="2"/>
  </si>
  <si>
    <t>2015.11.03.19</t>
    <phoneticPr fontId="2"/>
  </si>
  <si>
    <t>2015.11.04.10</t>
    <phoneticPr fontId="2"/>
  </si>
  <si>
    <t>EURCAD</t>
    <phoneticPr fontId="2"/>
  </si>
  <si>
    <t>自分の都合でS/Rを引かない</t>
    <rPh sb="0" eb="2">
      <t>ジブン</t>
    </rPh>
    <rPh sb="3" eb="5">
      <t>ツゴウ</t>
    </rPh>
    <rPh sb="10" eb="11">
      <t>ヒ</t>
    </rPh>
    <phoneticPr fontId="2"/>
  </si>
  <si>
    <t>D/J＋Wﾄｯﾌﾟ＋S/Rﾌﾞﾚｲｸ</t>
    <phoneticPr fontId="2"/>
  </si>
  <si>
    <t>１H</t>
    <phoneticPr fontId="2"/>
  </si>
  <si>
    <t>H/S→FS</t>
    <phoneticPr fontId="2"/>
  </si>
  <si>
    <t>H/S→S/Rﾌﾞﾚｲｸ</t>
    <phoneticPr fontId="2"/>
  </si>
  <si>
    <t>１H</t>
    <phoneticPr fontId="2"/>
  </si>
  <si>
    <t>Wﾎﾞﾄﾑ+S/Rﾌﾞﾚｲｸ</t>
    <phoneticPr fontId="2"/>
  </si>
  <si>
    <t>S/R</t>
    <phoneticPr fontId="2"/>
  </si>
  <si>
    <t>GBPJPY</t>
    <phoneticPr fontId="2"/>
  </si>
  <si>
    <t>1W→４H</t>
    <phoneticPr fontId="2"/>
  </si>
  <si>
    <t>2015.11.06.11</t>
    <phoneticPr fontId="2"/>
  </si>
  <si>
    <t>2015.11.06.15</t>
    <phoneticPr fontId="2"/>
  </si>
  <si>
    <t>win</t>
    <phoneticPr fontId="2"/>
  </si>
  <si>
    <t>S/R</t>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</si>
  <si>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</si>
  <si>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</si>
  <si>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Tﾎﾞﾄﾑ+S/Rﾌﾞﾚｲｸ</t>
    <phoneticPr fontId="2"/>
  </si>
  <si>
    <t>2015.11.04.14</t>
    <phoneticPr fontId="2"/>
  </si>
  <si>
    <t>2015.11.04.16</t>
    <phoneticPr fontId="2"/>
  </si>
  <si>
    <t>２勝４敗２分</t>
    <rPh sb="1" eb="2">
      <t>ショウ</t>
    </rPh>
    <rPh sb="3" eb="4">
      <t>ハイ</t>
    </rPh>
    <rPh sb="5" eb="6">
      <t>ワ</t>
    </rPh>
    <phoneticPr fontId="2"/>
  </si>
  <si>
    <t>C/P+S/Rﾌﾞﾚｲｸ</t>
    <phoneticPr fontId="2"/>
  </si>
  <si>
    <t>15m</t>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</si>
  <si>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</si>
  <si>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</si>
  <si>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</si>
  <si>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</si>
  <si>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</si>
  <si>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</si>
  <si>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</si>
  <si>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</si>
  <si>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</si>
  <si>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GBPUSD</t>
    <phoneticPr fontId="2"/>
  </si>
  <si>
    <t>EURUSD</t>
    <phoneticPr fontId="2"/>
  </si>
  <si>
    <t>AUDUSD</t>
    <phoneticPr fontId="2"/>
  </si>
  <si>
    <t>buy</t>
    <phoneticPr fontId="2"/>
  </si>
  <si>
    <t>sell</t>
    <phoneticPr fontId="2"/>
  </si>
  <si>
    <t>2015.11.09.12</t>
    <phoneticPr fontId="2"/>
  </si>
  <si>
    <t>2015.11.09.15</t>
    <phoneticPr fontId="2"/>
  </si>
  <si>
    <t>2015.11.10.13</t>
    <phoneticPr fontId="2"/>
  </si>
  <si>
    <t>2015.11.11.01</t>
    <phoneticPr fontId="2"/>
  </si>
  <si>
    <t>2015.11.09.16</t>
    <phoneticPr fontId="2"/>
  </si>
  <si>
    <t>2015.11.09.17</t>
    <phoneticPr fontId="2"/>
  </si>
  <si>
    <t>2015.11.10.20</t>
    <phoneticPr fontId="2"/>
  </si>
  <si>
    <t>2015.11.11.13</t>
    <phoneticPr fontId="2"/>
  </si>
  <si>
    <t>drw</t>
    <phoneticPr fontId="2"/>
  </si>
  <si>
    <t>win</t>
    <phoneticPr fontId="2"/>
  </si>
  <si>
    <t>S/R</t>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</si>
  <si>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</si>
  <si>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</si>
  <si>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EURCAD</t>
    <phoneticPr fontId="2"/>
  </si>
  <si>
    <t>2015.11.12.02</t>
    <phoneticPr fontId="2"/>
  </si>
  <si>
    <t>2015.11.12.10</t>
    <phoneticPr fontId="2"/>
  </si>
  <si>
    <t>loss</t>
    <phoneticPr fontId="2"/>
  </si>
  <si>
    <t>USDCHF</t>
    <phoneticPr fontId="2"/>
  </si>
  <si>
    <t>EURUSD</t>
    <phoneticPr fontId="2"/>
  </si>
  <si>
    <t>AUDJPY</t>
    <phoneticPr fontId="2"/>
  </si>
  <si>
    <t>2015.11.12.16</t>
    <phoneticPr fontId="2"/>
  </si>
  <si>
    <t>2015.11.13.13</t>
    <phoneticPr fontId="2"/>
  </si>
  <si>
    <t>2015.11.13.10</t>
    <phoneticPr fontId="2"/>
  </si>
  <si>
    <t>2015.11.12.17</t>
    <phoneticPr fontId="2"/>
  </si>
  <si>
    <t>2015.11.13.14</t>
    <phoneticPr fontId="2"/>
  </si>
  <si>
    <t>2015.11.13.17</t>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</si>
  <si>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</si>
  <si>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</si>
  <si>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</si>
  <si>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</si>
  <si>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</si>
  <si>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</si>
  <si>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</si>
  <si>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USDJPY</t>
    <phoneticPr fontId="2"/>
  </si>
  <si>
    <t>2015.11.13.19</t>
    <phoneticPr fontId="2"/>
  </si>
  <si>
    <t>2015.11.13.21</t>
    <phoneticPr fontId="2"/>
  </si>
  <si>
    <t>1勝４敗４分</t>
    <rPh sb="1" eb="2">
      <t>ショウ</t>
    </rPh>
    <rPh sb="3" eb="4">
      <t>ハイ</t>
    </rPh>
    <rPh sb="5" eb="6">
      <t>ワ</t>
    </rPh>
    <phoneticPr fontId="2"/>
  </si>
  <si>
    <t>11/0９～分↓</t>
    <rPh sb="6" eb="7">
      <t>フン</t>
    </rPh>
    <phoneticPr fontId="2"/>
  </si>
  <si>
    <t>今は１H足以下には潜らない</t>
    <rPh sb="0" eb="1">
      <t>イマ</t>
    </rPh>
    <rPh sb="4" eb="5">
      <t>アシ</t>
    </rPh>
    <rPh sb="5" eb="7">
      <t>イカ</t>
    </rPh>
    <rPh sb="9" eb="10">
      <t>モグ</t>
    </rPh>
    <phoneticPr fontId="2"/>
  </si>
  <si>
    <t>基本は２回目のFSまで待つ！</t>
    <rPh sb="0" eb="2">
      <t>キホン</t>
    </rPh>
    <rPh sb="4" eb="6">
      <t>カイメ</t>
    </rPh>
    <rPh sb="11" eb="12">
      <t>マ</t>
    </rPh>
    <phoneticPr fontId="2"/>
  </si>
  <si>
    <t>FIB61.8決済を基本とする</t>
    <rPh sb="7" eb="9">
      <t>ケッサイ</t>
    </rPh>
    <rPh sb="10" eb="12">
      <t>キホン</t>
    </rPh>
    <phoneticPr fontId="2"/>
  </si>
</sst>
</file>

<file path=xl/styles.xml><?xml version="1.0" encoding="utf-8"?>
<styleSheet xmlns="http://schemas.openxmlformats.org/spreadsheetml/2006/main">
  <numFmts count="10">
    <numFmt numFmtId="5" formatCode="&quot;¥&quot;#,##0;&quot;¥&quot;\-#,##0"/>
    <numFmt numFmtId="176" formatCode="0_ "/>
    <numFmt numFmtId="177" formatCode="0.0_);[Red]\(0.0\)"/>
    <numFmt numFmtId="178" formatCode="0_);[Red]\(0\)"/>
    <numFmt numFmtId="179" formatCode="0.00_ ;[Red]\-0.00\ "/>
    <numFmt numFmtId="180" formatCode="0.00_ "/>
    <numFmt numFmtId="181" formatCode="0.00000_ "/>
    <numFmt numFmtId="182" formatCode="&quot;¥&quot;#,##0_);[Red]\(&quot;¥&quot;#,##0\)"/>
    <numFmt numFmtId="183" formatCode="[$-F800]dddd\,\ mmmm\ dd\,\ yyyy"/>
    <numFmt numFmtId="184" formatCode="yyyy\.mm\.dd\ hh:mm:"/>
  </numFmts>
  <fonts count="25">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60"/>
      <name val="ＭＳ Ｐゴシック"/>
      <family val="3"/>
      <charset val="128"/>
    </font>
    <font>
      <sz val="10"/>
      <name val="ＭＳ Ｐゴシック"/>
      <family val="3"/>
      <charset val="128"/>
    </font>
    <font>
      <sz val="11"/>
      <color indexed="9"/>
      <name val="ＭＳ Ｐゴシック"/>
      <family val="3"/>
      <charset val="128"/>
    </font>
    <font>
      <sz val="10"/>
      <color indexed="10"/>
      <name val="ＭＳ Ｐゴシック"/>
      <family val="3"/>
      <charset val="128"/>
    </font>
    <font>
      <sz val="11"/>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s>
  <fills count="13">
    <fill>
      <patternFill patternType="none"/>
    </fill>
    <fill>
      <patternFill patternType="gray125"/>
    </fill>
    <fill>
      <patternFill patternType="solid">
        <fgColor indexed="53"/>
        <bgColor indexed="64"/>
      </patternFill>
    </fill>
    <fill>
      <patternFill patternType="solid">
        <fgColor indexed="42"/>
        <bgColor indexed="64"/>
      </patternFill>
    </fill>
    <fill>
      <patternFill patternType="solid">
        <fgColor theme="0" tint="-0.499984740745262"/>
        <bgColor indexed="64"/>
      </patternFill>
    </fill>
    <fill>
      <patternFill patternType="solid">
        <fgColor indexed="22"/>
        <bgColor indexed="64"/>
      </patternFill>
    </fill>
    <fill>
      <patternFill patternType="solid">
        <fgColor theme="0" tint="-0.249977111117893"/>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s>
  <borders count="58">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91">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0" fillId="0" borderId="0" xfId="0" applyFill="1">
      <alignmen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3" borderId="7" xfId="0" applyNumberFormat="1" applyFont="1" applyFill="1" applyBorder="1" applyAlignment="1" applyProtection="1">
      <alignment horizontal="left" vertical="center"/>
    </xf>
    <xf numFmtId="0" fontId="0" fillId="3" borderId="8" xfId="0" applyNumberFormat="1" applyFont="1" applyFill="1" applyBorder="1" applyAlignment="1" applyProtection="1">
      <alignment horizontal="center" vertical="center"/>
    </xf>
    <xf numFmtId="0" fontId="8" fillId="3" borderId="8" xfId="0" applyNumberFormat="1" applyFont="1" applyFill="1" applyBorder="1" applyAlignment="1" applyProtection="1">
      <alignment horizontal="center" vertical="center"/>
    </xf>
    <xf numFmtId="176" fontId="0" fillId="3" borderId="8" xfId="0" applyNumberFormat="1" applyFont="1" applyFill="1" applyBorder="1" applyAlignment="1" applyProtection="1">
      <alignment horizontal="center" vertical="center"/>
    </xf>
    <xf numFmtId="177" fontId="0" fillId="3" borderId="8" xfId="0" applyNumberFormat="1" applyFont="1" applyFill="1" applyBorder="1" applyAlignment="1" applyProtection="1">
      <alignment horizontal="center" vertical="center"/>
    </xf>
    <xf numFmtId="177" fontId="0" fillId="3" borderId="9" xfId="0" applyNumberFormat="1" applyFont="1" applyFill="1" applyBorder="1" applyAlignment="1" applyProtection="1">
      <alignment horizontal="center" vertical="center"/>
    </xf>
    <xf numFmtId="0" fontId="0" fillId="3" borderId="10" xfId="0" applyNumberFormat="1" applyFont="1" applyFill="1" applyBorder="1" applyAlignment="1" applyProtection="1">
      <alignment horizontal="center" vertical="center"/>
    </xf>
    <xf numFmtId="178" fontId="0" fillId="3" borderId="10" xfId="0" applyNumberFormat="1" applyFill="1" applyBorder="1" applyAlignment="1" applyProtection="1">
      <alignment horizontal="center" vertical="center"/>
    </xf>
    <xf numFmtId="0" fontId="0" fillId="4" borderId="0" xfId="0" applyFill="1">
      <alignment vertical="center"/>
    </xf>
    <xf numFmtId="0" fontId="0" fillId="4" borderId="0" xfId="0" applyFill="1" applyAlignment="1">
      <alignment horizontal="left" vertical="center"/>
    </xf>
    <xf numFmtId="0" fontId="8" fillId="4" borderId="0" xfId="0" applyFont="1" applyFill="1">
      <alignment vertical="center"/>
    </xf>
    <xf numFmtId="176" fontId="0" fillId="4" borderId="0" xfId="0" applyNumberFormat="1" applyFill="1">
      <alignment vertical="center"/>
    </xf>
    <xf numFmtId="177" fontId="0" fillId="4" borderId="0" xfId="0" applyNumberFormat="1" applyFill="1">
      <alignment vertical="center"/>
    </xf>
    <xf numFmtId="178" fontId="0" fillId="4" borderId="0" xfId="0" applyNumberFormat="1" applyFill="1">
      <alignment vertical="center"/>
    </xf>
    <xf numFmtId="177" fontId="0" fillId="4" borderId="0" xfId="0" applyNumberFormat="1" applyFont="1" applyFill="1" applyBorder="1" applyAlignment="1" applyProtection="1">
      <alignment vertical="center"/>
    </xf>
    <xf numFmtId="177" fontId="4" fillId="4" borderId="0" xfId="0" applyNumberFormat="1" applyFont="1" applyFill="1" applyBorder="1" applyAlignment="1" applyProtection="1">
      <alignment vertical="center"/>
    </xf>
    <xf numFmtId="0" fontId="0" fillId="4" borderId="0" xfId="0" applyFill="1" applyBorder="1" applyAlignment="1">
      <alignment horizontal="right" vertical="center"/>
    </xf>
    <xf numFmtId="0" fontId="0" fillId="5" borderId="0" xfId="0" applyFill="1">
      <alignment vertical="center"/>
    </xf>
    <xf numFmtId="0" fontId="3" fillId="5" borderId="0" xfId="0" applyFont="1" applyFill="1" applyAlignment="1">
      <alignment horizontal="left" vertical="center"/>
    </xf>
    <xf numFmtId="0" fontId="8" fillId="5" borderId="0" xfId="0" applyFont="1" applyFill="1">
      <alignment vertical="center"/>
    </xf>
    <xf numFmtId="176" fontId="0" fillId="5" borderId="0" xfId="0" applyNumberFormat="1" applyFill="1">
      <alignment vertical="center"/>
    </xf>
    <xf numFmtId="177" fontId="0" fillId="5" borderId="0" xfId="0" applyNumberFormat="1" applyFill="1">
      <alignment vertical="center"/>
    </xf>
    <xf numFmtId="177" fontId="0" fillId="5" borderId="0" xfId="0" applyNumberFormat="1" applyFont="1" applyFill="1" applyBorder="1" applyAlignment="1" applyProtection="1">
      <alignment vertical="center"/>
    </xf>
    <xf numFmtId="178" fontId="0" fillId="5" borderId="0" xfId="0" applyNumberFormat="1" applyFill="1">
      <alignment vertical="center"/>
    </xf>
    <xf numFmtId="0" fontId="0" fillId="5" borderId="0" xfId="0" applyFill="1" applyAlignment="1">
      <alignment horizontal="left" vertical="center"/>
    </xf>
    <xf numFmtId="0" fontId="0" fillId="5" borderId="0" xfId="0" applyFill="1" applyBorder="1" applyAlignment="1">
      <alignment horizontal="right" vertical="center"/>
    </xf>
    <xf numFmtId="177" fontId="0" fillId="5" borderId="0" xfId="0" applyNumberFormat="1" applyFill="1" applyBorder="1" applyAlignment="1" applyProtection="1">
      <alignment horizontal="right" vertical="center"/>
    </xf>
    <xf numFmtId="0" fontId="0" fillId="5" borderId="0" xfId="0" applyFill="1" applyBorder="1">
      <alignment vertical="center"/>
    </xf>
    <xf numFmtId="0" fontId="0" fillId="5" borderId="0" xfId="0" applyFill="1" applyBorder="1" applyAlignment="1">
      <alignment horizontal="left" vertical="center"/>
    </xf>
    <xf numFmtId="0" fontId="8" fillId="5" borderId="0" xfId="0" applyFont="1" applyFill="1" applyBorder="1">
      <alignment vertical="center"/>
    </xf>
    <xf numFmtId="176" fontId="0" fillId="5" borderId="0" xfId="0" applyNumberFormat="1" applyFill="1" applyBorder="1">
      <alignment vertical="center"/>
    </xf>
    <xf numFmtId="177" fontId="0" fillId="5" borderId="0" xfId="0" applyNumberFormat="1" applyFill="1" applyBorder="1">
      <alignment vertical="center"/>
    </xf>
    <xf numFmtId="0" fontId="0" fillId="6" borderId="0" xfId="0" applyFill="1">
      <alignment vertical="center"/>
    </xf>
    <xf numFmtId="0" fontId="3" fillId="6" borderId="0" xfId="0" applyFont="1" applyFill="1" applyAlignment="1">
      <alignment horizontal="left" vertical="center"/>
    </xf>
    <xf numFmtId="0" fontId="8" fillId="6" borderId="0" xfId="0" applyFont="1" applyFill="1">
      <alignment vertical="center"/>
    </xf>
    <xf numFmtId="176" fontId="0" fillId="6" borderId="0" xfId="0" applyNumberFormat="1" applyFill="1">
      <alignment vertical="center"/>
    </xf>
    <xf numFmtId="0" fontId="0" fillId="6" borderId="0" xfId="0" applyFill="1" applyBorder="1">
      <alignment vertical="center"/>
    </xf>
    <xf numFmtId="177" fontId="0" fillId="6" borderId="0" xfId="0" applyNumberFormat="1" applyFill="1">
      <alignment vertical="center"/>
    </xf>
    <xf numFmtId="177" fontId="0" fillId="6" borderId="0" xfId="0" applyNumberFormat="1" applyFont="1" applyFill="1" applyBorder="1" applyAlignment="1" applyProtection="1">
      <alignment vertical="center"/>
    </xf>
    <xf numFmtId="178" fontId="0" fillId="6" borderId="0" xfId="0" applyNumberFormat="1" applyFill="1">
      <alignment vertical="center"/>
    </xf>
    <xf numFmtId="0" fontId="0" fillId="6" borderId="0" xfId="0" applyFill="1" applyAlignment="1">
      <alignment horizontal="left" vertical="center"/>
    </xf>
    <xf numFmtId="0" fontId="8" fillId="6" borderId="0" xfId="0" applyFont="1" applyFill="1" applyBorder="1">
      <alignment vertical="center"/>
    </xf>
    <xf numFmtId="0" fontId="0" fillId="6" borderId="0" xfId="0" applyFill="1" applyBorder="1" applyAlignment="1">
      <alignment horizontal="right" vertical="center"/>
    </xf>
    <xf numFmtId="0" fontId="0" fillId="6" borderId="0" xfId="0" applyFill="1" applyBorder="1" applyAlignment="1">
      <alignment horizontal="left" vertical="center"/>
    </xf>
    <xf numFmtId="176" fontId="0" fillId="6" borderId="0" xfId="0" applyNumberFormat="1" applyFill="1" applyBorder="1">
      <alignment vertical="center"/>
    </xf>
    <xf numFmtId="177" fontId="0" fillId="6" borderId="0" xfId="0" applyNumberFormat="1" applyFill="1" applyBorder="1">
      <alignment vertical="center"/>
    </xf>
    <xf numFmtId="0" fontId="0" fillId="0" borderId="0" xfId="0" applyFill="1" applyBorder="1">
      <alignment vertical="center"/>
    </xf>
    <xf numFmtId="176" fontId="0" fillId="0" borderId="0" xfId="0" applyNumberFormat="1">
      <alignment vertical="center"/>
    </xf>
    <xf numFmtId="176" fontId="0" fillId="0" borderId="0" xfId="0" applyNumberFormat="1" applyAlignment="1">
      <alignment horizontal="left" vertical="center"/>
    </xf>
    <xf numFmtId="0" fontId="8" fillId="0" borderId="0" xfId="0" applyFont="1">
      <alignment vertical="center"/>
    </xf>
    <xf numFmtId="0" fontId="0" fillId="0" borderId="0" xfId="0" applyFill="1" applyBorder="1" applyAlignment="1">
      <alignment horizontal="righ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3" fillId="0" borderId="0" xfId="0" applyFont="1" applyFill="1" applyAlignment="1">
      <alignment horizontal="left" vertical="center"/>
    </xf>
    <xf numFmtId="0" fontId="0" fillId="0" borderId="0" xfId="0" applyFill="1" applyBorder="1" applyAlignment="1">
      <alignment horizontal="left" vertical="center"/>
    </xf>
    <xf numFmtId="0" fontId="0" fillId="0" borderId="11" xfId="0" applyBorder="1">
      <alignment vertical="center"/>
    </xf>
    <xf numFmtId="178" fontId="0" fillId="0" borderId="11" xfId="0" applyNumberFormat="1" applyBorder="1">
      <alignment vertical="center"/>
    </xf>
    <xf numFmtId="0" fontId="0" fillId="0" borderId="0" xfId="0" applyBorder="1">
      <alignment vertical="center"/>
    </xf>
    <xf numFmtId="176" fontId="0" fillId="0" borderId="0" xfId="0" applyNumberFormat="1" applyBorder="1">
      <alignment vertical="center"/>
    </xf>
    <xf numFmtId="176" fontId="0" fillId="0" borderId="0" xfId="0" applyNumberFormat="1" applyBorder="1" applyAlignment="1">
      <alignment horizontal="left" vertical="center"/>
    </xf>
    <xf numFmtId="0" fontId="0" fillId="0" borderId="12" xfId="0" applyBorder="1">
      <alignment vertical="center"/>
    </xf>
    <xf numFmtId="0" fontId="8" fillId="0" borderId="12" xfId="0" applyFont="1" applyBorder="1">
      <alignment vertical="center"/>
    </xf>
    <xf numFmtId="176" fontId="0" fillId="0" borderId="12" xfId="0" applyNumberFormat="1" applyBorder="1">
      <alignment vertical="center"/>
    </xf>
    <xf numFmtId="176" fontId="0" fillId="0" borderId="12" xfId="0" applyNumberFormat="1" applyBorder="1" applyAlignment="1">
      <alignment horizontal="left" vertical="center"/>
    </xf>
    <xf numFmtId="177" fontId="0" fillId="0" borderId="12" xfId="0" applyNumberFormat="1" applyBorder="1">
      <alignment vertical="center"/>
    </xf>
    <xf numFmtId="177" fontId="0" fillId="0" borderId="12" xfId="0" applyNumberFormat="1" applyFont="1" applyFill="1" applyBorder="1" applyAlignment="1" applyProtection="1">
      <alignment vertical="center"/>
    </xf>
    <xf numFmtId="178" fontId="0" fillId="0" borderId="12" xfId="0" applyNumberFormat="1" applyBorder="1">
      <alignment vertical="center"/>
    </xf>
    <xf numFmtId="0" fontId="4" fillId="0" borderId="0" xfId="0" applyNumberFormat="1" applyFont="1" applyFill="1" applyBorder="1" applyAlignment="1" applyProtection="1">
      <alignment vertical="center"/>
    </xf>
    <xf numFmtId="0" fontId="0" fillId="0" borderId="11" xfId="0" applyNumberFormat="1" applyFont="1" applyFill="1" applyBorder="1" applyAlignment="1" applyProtection="1">
      <alignment horizontal="left" vertical="center"/>
    </xf>
    <xf numFmtId="0" fontId="0" fillId="0" borderId="11" xfId="0" applyNumberFormat="1" applyFont="1" applyFill="1" applyBorder="1" applyAlignment="1" applyProtection="1">
      <alignment vertical="center"/>
    </xf>
    <xf numFmtId="0" fontId="8" fillId="0" borderId="11" xfId="0" applyNumberFormat="1" applyFont="1" applyFill="1" applyBorder="1" applyAlignment="1" applyProtection="1">
      <alignment vertical="center"/>
    </xf>
    <xf numFmtId="176" fontId="0" fillId="0" borderId="11" xfId="0" applyNumberFormat="1" applyFont="1" applyFill="1" applyBorder="1" applyAlignment="1" applyProtection="1">
      <alignment vertical="center"/>
    </xf>
    <xf numFmtId="176" fontId="0" fillId="0" borderId="11" xfId="0" applyNumberFormat="1" applyFont="1" applyFill="1" applyBorder="1" applyAlignment="1" applyProtection="1">
      <alignment horizontal="left" vertical="center"/>
    </xf>
    <xf numFmtId="177" fontId="0" fillId="0" borderId="11" xfId="0" applyNumberFormat="1" applyFont="1" applyFill="1" applyBorder="1" applyAlignment="1" applyProtection="1">
      <alignment vertical="center"/>
    </xf>
    <xf numFmtId="0" fontId="9"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horizontal="right" vertical="center"/>
    </xf>
    <xf numFmtId="0" fontId="11" fillId="0" borderId="0" xfId="0" applyNumberFormat="1" applyFont="1" applyFill="1" applyBorder="1" applyAlignment="1" applyProtection="1">
      <alignment horizontal="center" vertical="center"/>
    </xf>
    <xf numFmtId="176" fontId="11" fillId="0" borderId="0" xfId="0" applyNumberFormat="1" applyFont="1" applyFill="1" applyBorder="1" applyAlignment="1" applyProtection="1">
      <alignment horizontal="left" vertical="center"/>
    </xf>
    <xf numFmtId="177" fontId="11" fillId="7" borderId="8" xfId="0" applyNumberFormat="1" applyFont="1" applyFill="1" applyBorder="1" applyAlignment="1" applyProtection="1">
      <alignment horizontal="center" vertical="center"/>
    </xf>
    <xf numFmtId="177" fontId="11" fillId="7" borderId="16" xfId="0" applyNumberFormat="1" applyFont="1" applyFill="1" applyBorder="1" applyAlignment="1" applyProtection="1">
      <alignment horizontal="left" vertical="center"/>
    </xf>
    <xf numFmtId="0" fontId="0" fillId="0" borderId="17" xfId="0" applyNumberFormat="1" applyFont="1" applyFill="1" applyBorder="1" applyAlignment="1" applyProtection="1">
      <alignment vertical="center"/>
    </xf>
    <xf numFmtId="0" fontId="8" fillId="0" borderId="18"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0" fillId="0" borderId="0" xfId="0" applyNumberFormat="1" applyFont="1" applyFill="1" applyBorder="1" applyAlignment="1" applyProtection="1">
      <alignment horizontal="left" vertical="center"/>
    </xf>
    <xf numFmtId="176" fontId="8" fillId="0" borderId="17"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left" vertical="center"/>
    </xf>
    <xf numFmtId="0" fontId="0" fillId="0" borderId="22" xfId="0" applyNumberFormat="1" applyFont="1" applyFill="1" applyBorder="1" applyAlignment="1" applyProtection="1">
      <alignment vertical="center"/>
    </xf>
    <xf numFmtId="0" fontId="8" fillId="0" borderId="23" xfId="0" applyNumberFormat="1" applyFont="1" applyFill="1" applyBorder="1" applyAlignment="1" applyProtection="1">
      <alignment vertical="center"/>
    </xf>
    <xf numFmtId="176" fontId="8" fillId="0" borderId="22" xfId="0" applyNumberFormat="1" applyFont="1" applyFill="1" applyBorder="1" applyAlignment="1" applyProtection="1">
      <alignment vertical="center"/>
    </xf>
    <xf numFmtId="0" fontId="0" fillId="0" borderId="24" xfId="0" applyNumberFormat="1" applyFont="1" applyFill="1" applyBorder="1" applyAlignment="1" applyProtection="1">
      <alignment horizontal="center" vertical="center"/>
    </xf>
    <xf numFmtId="177" fontId="0" fillId="0" borderId="23" xfId="0" applyNumberFormat="1" applyFont="1" applyFill="1" applyBorder="1" applyAlignment="1" applyProtection="1">
      <alignment horizontal="center" vertical="center"/>
    </xf>
    <xf numFmtId="177" fontId="0" fillId="0" borderId="20" xfId="0" applyNumberFormat="1" applyBorder="1">
      <alignment vertical="center"/>
    </xf>
    <xf numFmtId="177" fontId="0" fillId="0" borderId="25" xfId="0" applyNumberFormat="1" applyFont="1" applyFill="1" applyBorder="1" applyAlignment="1" applyProtection="1">
      <alignment horizontal="left" vertical="center"/>
    </xf>
    <xf numFmtId="0" fontId="12" fillId="0" borderId="23" xfId="0" applyNumberFormat="1" applyFont="1" applyFill="1" applyBorder="1" applyAlignment="1" applyProtection="1">
      <alignment vertical="center"/>
    </xf>
    <xf numFmtId="0" fontId="0" fillId="0" borderId="26" xfId="0" applyNumberFormat="1" applyFont="1" applyFill="1" applyBorder="1" applyAlignment="1" applyProtection="1">
      <alignment vertical="center"/>
    </xf>
    <xf numFmtId="0" fontId="8" fillId="0" borderId="27" xfId="0" applyNumberFormat="1" applyFont="1" applyFill="1" applyBorder="1" applyAlignment="1" applyProtection="1">
      <alignment vertical="center"/>
    </xf>
    <xf numFmtId="177" fontId="0" fillId="0" borderId="28" xfId="0" applyNumberFormat="1" applyFont="1" applyFill="1" applyBorder="1" applyAlignment="1" applyProtection="1">
      <alignment horizontal="left" vertical="center"/>
    </xf>
    <xf numFmtId="179" fontId="8" fillId="0" borderId="23" xfId="0" applyNumberFormat="1" applyFont="1" applyFill="1" applyBorder="1" applyAlignment="1" applyProtection="1">
      <alignment vertical="center"/>
    </xf>
    <xf numFmtId="180" fontId="8" fillId="0" borderId="23" xfId="0" applyNumberFormat="1" applyFont="1" applyFill="1" applyBorder="1" applyAlignment="1" applyProtection="1">
      <alignment vertical="center"/>
    </xf>
    <xf numFmtId="0" fontId="0" fillId="0" borderId="29" xfId="0" applyNumberFormat="1" applyFont="1" applyFill="1" applyBorder="1" applyAlignment="1" applyProtection="1">
      <alignment vertical="center"/>
    </xf>
    <xf numFmtId="9" fontId="8" fillId="0" borderId="30"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176" fontId="8" fillId="0" borderId="29" xfId="0" applyNumberFormat="1" applyFont="1" applyFill="1" applyBorder="1" applyAlignment="1" applyProtection="1">
      <alignment vertical="center"/>
    </xf>
    <xf numFmtId="0" fontId="0" fillId="0" borderId="33" xfId="0" applyNumberFormat="1" applyFont="1" applyFill="1" applyBorder="1" applyAlignment="1" applyProtection="1">
      <alignment horizontal="center" vertical="center"/>
    </xf>
    <xf numFmtId="177" fontId="0" fillId="0" borderId="30" xfId="0" applyNumberFormat="1" applyFont="1" applyFill="1" applyBorder="1" applyAlignment="1" applyProtection="1">
      <alignment horizontal="center" vertical="center"/>
    </xf>
    <xf numFmtId="177" fontId="0" fillId="0" borderId="34"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11" fillId="7" borderId="8" xfId="0" applyNumberFormat="1" applyFont="1" applyFill="1" applyBorder="1" applyAlignment="1" applyProtection="1">
      <alignment horizontal="center" vertical="center"/>
    </xf>
    <xf numFmtId="176" fontId="11" fillId="7" borderId="35" xfId="0" applyNumberFormat="1" applyFont="1" applyFill="1" applyBorder="1" applyAlignment="1" applyProtection="1">
      <alignment horizontal="left" vertical="center"/>
    </xf>
    <xf numFmtId="0" fontId="11" fillId="7" borderId="10" xfId="0" applyNumberFormat="1" applyFont="1" applyFill="1" applyBorder="1" applyAlignment="1" applyProtection="1">
      <alignment horizontal="center" vertical="center"/>
    </xf>
    <xf numFmtId="176" fontId="0" fillId="0" borderId="17" xfId="0" applyNumberFormat="1" applyFont="1" applyFill="1" applyBorder="1" applyAlignment="1" applyProtection="1">
      <alignment vertical="center"/>
    </xf>
    <xf numFmtId="0" fontId="0" fillId="0" borderId="18" xfId="0" applyNumberFormat="1" applyFont="1" applyFill="1" applyBorder="1" applyAlignment="1" applyProtection="1">
      <alignment horizontal="center" vertical="center"/>
    </xf>
    <xf numFmtId="176" fontId="0" fillId="0" borderId="36" xfId="0" applyNumberFormat="1" applyFont="1" applyFill="1" applyBorder="1" applyAlignment="1" applyProtection="1">
      <alignment horizontal="left" vertical="center"/>
    </xf>
    <xf numFmtId="0" fontId="0" fillId="0" borderId="37" xfId="0" applyNumberFormat="1" applyFont="1" applyFill="1" applyBorder="1" applyAlignment="1" applyProtection="1">
      <alignment horizontal="center" vertical="center"/>
    </xf>
    <xf numFmtId="176" fontId="0" fillId="0" borderId="22" xfId="0" applyNumberFormat="1" applyFont="1" applyFill="1" applyBorder="1" applyAlignment="1" applyProtection="1">
      <alignment vertical="center"/>
    </xf>
    <xf numFmtId="176" fontId="0" fillId="0" borderId="23" xfId="0" applyNumberFormat="1" applyFont="1" applyFill="1" applyBorder="1" applyAlignment="1" applyProtection="1">
      <alignment horizontal="left" vertical="center"/>
    </xf>
    <xf numFmtId="0" fontId="0" fillId="0" borderId="38" xfId="0" applyNumberFormat="1" applyFont="1" applyFill="1" applyBorder="1" applyAlignment="1" applyProtection="1">
      <alignment horizontal="center" vertical="center"/>
    </xf>
    <xf numFmtId="176" fontId="0" fillId="0" borderId="39" xfId="0" applyNumberFormat="1" applyFont="1" applyFill="1" applyBorder="1" applyAlignment="1" applyProtection="1">
      <alignment vertical="center"/>
    </xf>
    <xf numFmtId="0" fontId="0" fillId="0" borderId="1" xfId="0" applyNumberFormat="1" applyFont="1" applyFill="1" applyBorder="1" applyAlignment="1" applyProtection="1">
      <alignment horizontal="center" vertical="center"/>
    </xf>
    <xf numFmtId="176" fontId="0" fillId="0" borderId="40" xfId="0" applyNumberFormat="1" applyFont="1" applyFill="1" applyBorder="1" applyAlignment="1" applyProtection="1">
      <alignment horizontal="left" vertical="center"/>
    </xf>
    <xf numFmtId="0" fontId="0" fillId="0" borderId="41" xfId="0" applyNumberFormat="1" applyFont="1" applyFill="1" applyBorder="1" applyAlignment="1" applyProtection="1">
      <alignment horizontal="center" vertical="center"/>
    </xf>
    <xf numFmtId="176" fontId="0" fillId="0" borderId="24"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0" fillId="0" borderId="42" xfId="0" applyNumberFormat="1" applyFont="1" applyFill="1" applyBorder="1" applyAlignment="1" applyProtection="1">
      <alignment vertical="center"/>
    </xf>
    <xf numFmtId="0" fontId="0" fillId="0" borderId="43" xfId="0" applyBorder="1">
      <alignment vertical="center"/>
    </xf>
    <xf numFmtId="0" fontId="0" fillId="0" borderId="24" xfId="0" applyNumberFormat="1" applyFill="1" applyBorder="1" applyAlignment="1" applyProtection="1">
      <alignment vertical="center"/>
    </xf>
    <xf numFmtId="0" fontId="0" fillId="0" borderId="24" xfId="0" applyBorder="1" applyAlignment="1">
      <alignment vertical="center"/>
    </xf>
    <xf numFmtId="0" fontId="0" fillId="0" borderId="44" xfId="0" applyBorder="1">
      <alignment vertical="center"/>
    </xf>
    <xf numFmtId="0" fontId="0" fillId="0" borderId="3" xfId="0" applyFill="1" applyBorder="1" applyAlignment="1">
      <alignment vertical="center"/>
    </xf>
    <xf numFmtId="0" fontId="0" fillId="2" borderId="44" xfId="0" applyFill="1" applyBorder="1">
      <alignment vertical="center"/>
    </xf>
    <xf numFmtId="0" fontId="0" fillId="0" borderId="24" xfId="0" applyFill="1" applyBorder="1" applyAlignment="1">
      <alignment vertical="center"/>
    </xf>
    <xf numFmtId="0" fontId="0" fillId="0" borderId="0" xfId="0" applyAlignment="1">
      <alignment vertical="center"/>
    </xf>
    <xf numFmtId="0" fontId="0" fillId="3" borderId="7" xfId="0" applyNumberFormat="1" applyFont="1" applyFill="1" applyBorder="1" applyAlignment="1" applyProtection="1">
      <alignment horizontal="center" vertical="center"/>
    </xf>
    <xf numFmtId="178" fontId="0" fillId="3" borderId="8" xfId="0" applyNumberFormat="1" applyFont="1" applyFill="1" applyBorder="1" applyAlignment="1" applyProtection="1">
      <alignment horizontal="center" vertical="center"/>
    </xf>
    <xf numFmtId="178" fontId="0" fillId="3" borderId="9" xfId="0" applyNumberFormat="1" applyFont="1" applyFill="1" applyBorder="1" applyAlignment="1" applyProtection="1">
      <alignment horizontal="center" vertical="center"/>
    </xf>
    <xf numFmtId="0" fontId="0" fillId="0" borderId="0" xfId="0" applyAlignment="1">
      <alignment horizontal="right" vertical="center"/>
    </xf>
    <xf numFmtId="178" fontId="0" fillId="0" borderId="0" xfId="0" applyNumberFormat="1" applyFont="1" applyFill="1" applyBorder="1" applyAlignment="1" applyProtection="1">
      <alignment vertical="center"/>
    </xf>
    <xf numFmtId="181" fontId="0" fillId="0" borderId="0" xfId="0" applyNumberFormat="1">
      <alignment vertical="center"/>
    </xf>
    <xf numFmtId="178" fontId="4" fillId="0" borderId="0" xfId="0" applyNumberFormat="1" applyFont="1" applyFill="1" applyBorder="1" applyAlignment="1" applyProtection="1">
      <alignment vertical="center"/>
    </xf>
    <xf numFmtId="0" fontId="0" fillId="0" borderId="12" xfId="0" applyFill="1" applyBorder="1">
      <alignment vertical="center"/>
    </xf>
    <xf numFmtId="178" fontId="0" fillId="0" borderId="12" xfId="0" applyNumberFormat="1" applyFont="1" applyFill="1" applyBorder="1" applyAlignment="1" applyProtection="1">
      <alignment vertical="center"/>
    </xf>
    <xf numFmtId="181" fontId="0" fillId="0" borderId="12" xfId="0" applyNumberFormat="1" applyBorder="1">
      <alignment vertical="center"/>
    </xf>
    <xf numFmtId="178" fontId="0" fillId="0" borderId="0" xfId="0" applyNumberFormat="1" applyFill="1" applyBorder="1" applyAlignment="1" applyProtection="1">
      <alignment horizontal="right" vertical="center"/>
    </xf>
    <xf numFmtId="0" fontId="0" fillId="0" borderId="0" xfId="0" applyFill="1" applyAlignment="1">
      <alignment horizontal="right" vertical="center"/>
    </xf>
    <xf numFmtId="14" fontId="0" fillId="0" borderId="0" xfId="0" applyNumberFormat="1">
      <alignment vertical="center"/>
    </xf>
    <xf numFmtId="178" fontId="0" fillId="0" borderId="0" xfId="0" applyNumberFormat="1" applyBorder="1">
      <alignment vertical="center"/>
    </xf>
    <xf numFmtId="178" fontId="0" fillId="0" borderId="11" xfId="0" applyNumberFormat="1" applyFont="1" applyFill="1" applyBorder="1" applyAlignment="1" applyProtection="1">
      <alignment vertical="center"/>
    </xf>
    <xf numFmtId="176" fontId="11" fillId="7" borderId="16" xfId="0" applyNumberFormat="1" applyFont="1" applyFill="1" applyBorder="1" applyAlignment="1" applyProtection="1">
      <alignment horizontal="left" vertical="center"/>
    </xf>
    <xf numFmtId="0" fontId="0" fillId="0" borderId="18" xfId="0" applyNumberFormat="1" applyFont="1" applyFill="1" applyBorder="1" applyAlignment="1" applyProtection="1">
      <alignment vertical="center"/>
    </xf>
    <xf numFmtId="176" fontId="0" fillId="0" borderId="21" xfId="0" applyNumberFormat="1" applyFont="1" applyFill="1" applyBorder="1" applyAlignment="1" applyProtection="1">
      <alignment horizontal="left" vertical="center"/>
    </xf>
    <xf numFmtId="0" fontId="0" fillId="0" borderId="23" xfId="0" applyNumberFormat="1" applyFont="1" applyFill="1" applyBorder="1" applyAlignment="1" applyProtection="1">
      <alignment vertical="center"/>
    </xf>
    <xf numFmtId="0" fontId="0" fillId="0" borderId="23" xfId="0" applyNumberFormat="1" applyFont="1" applyFill="1" applyBorder="1" applyAlignment="1" applyProtection="1">
      <alignment horizontal="center" vertical="center"/>
    </xf>
    <xf numFmtId="0" fontId="0" fillId="0" borderId="20" xfId="0" applyBorder="1">
      <alignment vertical="center"/>
    </xf>
    <xf numFmtId="176" fontId="0" fillId="0" borderId="25" xfId="0" applyNumberFormat="1" applyFont="1" applyFill="1" applyBorder="1" applyAlignment="1" applyProtection="1">
      <alignment horizontal="left" vertical="center"/>
    </xf>
    <xf numFmtId="0" fontId="13" fillId="0" borderId="23"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176" fontId="0" fillId="0" borderId="28" xfId="0" applyNumberFormat="1" applyFont="1" applyFill="1" applyBorder="1" applyAlignment="1" applyProtection="1">
      <alignment horizontal="left" vertical="center"/>
    </xf>
    <xf numFmtId="179" fontId="0" fillId="0" borderId="23" xfId="0" applyNumberFormat="1" applyFont="1" applyFill="1" applyBorder="1" applyAlignment="1" applyProtection="1">
      <alignment vertical="center"/>
    </xf>
    <xf numFmtId="180" fontId="0" fillId="0" borderId="23" xfId="0" applyNumberFormat="1" applyFont="1" applyFill="1" applyBorder="1" applyAlignment="1" applyProtection="1">
      <alignment vertical="center"/>
    </xf>
    <xf numFmtId="9" fontId="0" fillId="0" borderId="30" xfId="0" applyNumberFormat="1" applyFont="1" applyFill="1" applyBorder="1" applyAlignment="1" applyProtection="1">
      <alignment vertical="center"/>
    </xf>
    <xf numFmtId="176" fontId="0" fillId="0" borderId="29" xfId="0" applyNumberFormat="1" applyFont="1" applyFill="1" applyBorder="1" applyAlignment="1" applyProtection="1">
      <alignment vertical="center"/>
    </xf>
    <xf numFmtId="0" fontId="0" fillId="0" borderId="30" xfId="0" applyNumberFormat="1" applyFont="1" applyFill="1" applyBorder="1" applyAlignment="1" applyProtection="1">
      <alignment horizontal="center" vertical="center"/>
    </xf>
    <xf numFmtId="176" fontId="0" fillId="0" borderId="34" xfId="0" applyNumberFormat="1" applyFont="1" applyFill="1" applyBorder="1" applyAlignment="1" applyProtection="1">
      <alignment horizontal="left" vertical="center"/>
    </xf>
    <xf numFmtId="176" fontId="0" fillId="0" borderId="10" xfId="0" applyNumberFormat="1" applyFont="1" applyFill="1" applyBorder="1" applyAlignment="1" applyProtection="1">
      <alignment vertical="center"/>
    </xf>
    <xf numFmtId="176" fontId="0" fillId="0" borderId="10" xfId="0" applyNumberFormat="1" applyFont="1" applyFill="1" applyBorder="1" applyAlignment="1" applyProtection="1">
      <alignment horizontal="left" vertical="center"/>
    </xf>
    <xf numFmtId="0" fontId="0" fillId="0" borderId="44" xfId="0" applyFill="1" applyBorder="1">
      <alignment vertical="center"/>
    </xf>
    <xf numFmtId="0" fontId="5" fillId="0" borderId="24"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5" xfId="0" applyFont="1" applyBorder="1" applyAlignment="1">
      <alignment vertical="center" wrapText="1"/>
    </xf>
    <xf numFmtId="0" fontId="5" fillId="0" borderId="24" xfId="0" applyFont="1" applyBorder="1" applyAlignment="1">
      <alignment horizontal="left" vertical="center" wrapText="1"/>
    </xf>
    <xf numFmtId="177" fontId="0" fillId="6" borderId="11" xfId="0" applyNumberFormat="1" applyFill="1" applyBorder="1" applyAlignment="1" applyProtection="1">
      <alignment horizontal="right" vertical="center"/>
    </xf>
    <xf numFmtId="0" fontId="0" fillId="6" borderId="11" xfId="0" applyFill="1" applyBorder="1">
      <alignment vertical="center"/>
    </xf>
    <xf numFmtId="178" fontId="0" fillId="6" borderId="11" xfId="0" applyNumberFormat="1" applyFill="1" applyBorder="1">
      <alignment vertical="center"/>
    </xf>
    <xf numFmtId="0" fontId="5" fillId="0" borderId="24" xfId="0" applyFont="1" applyBorder="1" applyAlignment="1">
      <alignment vertical="center" wrapText="1"/>
    </xf>
    <xf numFmtId="0" fontId="5" fillId="0" borderId="24" xfId="0" applyFont="1" applyBorder="1" applyAlignment="1">
      <alignment vertical="center" wrapText="1"/>
    </xf>
    <xf numFmtId="0" fontId="15" fillId="0" borderId="0" xfId="0" applyFont="1" applyAlignment="1">
      <alignment horizontal="left" vertical="center" wrapText="1"/>
    </xf>
    <xf numFmtId="0" fontId="15" fillId="0" borderId="24" xfId="0" applyFont="1" applyBorder="1" applyAlignment="1">
      <alignment vertical="center" wrapText="1"/>
    </xf>
    <xf numFmtId="0" fontId="15" fillId="0" borderId="0" xfId="0" applyFont="1" applyAlignment="1">
      <alignment horizontal="left" vertical="center"/>
    </xf>
    <xf numFmtId="0" fontId="16" fillId="0" borderId="0" xfId="0" applyNumberFormat="1" applyFont="1" applyFill="1" applyBorder="1" applyAlignment="1" applyProtection="1">
      <alignment horizontal="left" vertical="center"/>
    </xf>
    <xf numFmtId="0" fontId="17" fillId="0" borderId="0" xfId="0" applyFont="1">
      <alignment vertical="center"/>
    </xf>
    <xf numFmtId="0" fontId="17" fillId="8" borderId="44" xfId="0" applyFont="1" applyFill="1" applyBorder="1">
      <alignment vertical="center"/>
    </xf>
    <xf numFmtId="0" fontId="17" fillId="8" borderId="3" xfId="0" applyFont="1" applyFill="1" applyBorder="1">
      <alignment vertical="center"/>
    </xf>
    <xf numFmtId="0" fontId="17" fillId="8" borderId="3" xfId="0" applyFont="1" applyFill="1" applyBorder="1" applyAlignment="1">
      <alignment vertical="center" wrapText="1"/>
    </xf>
    <xf numFmtId="0" fontId="17" fillId="8" borderId="18" xfId="0" applyFont="1" applyFill="1" applyBorder="1" applyAlignment="1">
      <alignment vertical="center" wrapText="1"/>
    </xf>
    <xf numFmtId="0" fontId="17" fillId="0" borderId="46" xfId="0" applyFont="1" applyBorder="1">
      <alignment vertical="center"/>
    </xf>
    <xf numFmtId="182" fontId="17" fillId="0" borderId="47" xfId="0" applyNumberFormat="1" applyFont="1" applyBorder="1">
      <alignment vertical="center"/>
    </xf>
    <xf numFmtId="0" fontId="17" fillId="0" borderId="47" xfId="0" applyFont="1" applyBorder="1">
      <alignment vertical="center"/>
    </xf>
    <xf numFmtId="0" fontId="17" fillId="0" borderId="48" xfId="0" applyFont="1" applyBorder="1">
      <alignment vertical="center"/>
    </xf>
    <xf numFmtId="9" fontId="17" fillId="0" borderId="48" xfId="0" applyNumberFormat="1" applyFont="1" applyBorder="1">
      <alignment vertical="center"/>
    </xf>
    <xf numFmtId="182" fontId="17" fillId="0" borderId="48" xfId="0" applyNumberFormat="1" applyFont="1" applyBorder="1">
      <alignment vertical="center"/>
    </xf>
    <xf numFmtId="0" fontId="17" fillId="0" borderId="50" xfId="0" applyFont="1" applyBorder="1">
      <alignment vertical="center"/>
    </xf>
    <xf numFmtId="182" fontId="17" fillId="0" borderId="51" xfId="0" applyNumberFormat="1" applyFont="1" applyBorder="1">
      <alignment vertical="center"/>
    </xf>
    <xf numFmtId="0" fontId="17" fillId="0" borderId="51" xfId="0" applyFont="1" applyBorder="1">
      <alignment vertical="center"/>
    </xf>
    <xf numFmtId="9" fontId="17" fillId="0" borderId="51" xfId="0" applyNumberFormat="1" applyFont="1" applyBorder="1">
      <alignment vertical="center"/>
    </xf>
    <xf numFmtId="0" fontId="17" fillId="0" borderId="53" xfId="0" applyFont="1" applyBorder="1">
      <alignment vertical="center"/>
    </xf>
    <xf numFmtId="9" fontId="17" fillId="0" borderId="54" xfId="0" applyNumberFormat="1" applyFont="1" applyBorder="1">
      <alignment vertical="center"/>
    </xf>
    <xf numFmtId="182" fontId="17" fillId="0" borderId="54" xfId="0" applyNumberFormat="1" applyFont="1" applyBorder="1">
      <alignment vertical="center"/>
    </xf>
    <xf numFmtId="0" fontId="17" fillId="8" borderId="24" xfId="0" applyFont="1" applyFill="1" applyBorder="1">
      <alignment vertical="center"/>
    </xf>
    <xf numFmtId="182" fontId="17" fillId="9" borderId="24" xfId="0" applyNumberFormat="1" applyFont="1" applyFill="1" applyBorder="1">
      <alignment vertical="center"/>
    </xf>
    <xf numFmtId="0" fontId="17" fillId="9" borderId="24" xfId="0" applyFont="1" applyFill="1" applyBorder="1">
      <alignment vertical="center"/>
    </xf>
    <xf numFmtId="9" fontId="17" fillId="0" borderId="3" xfId="0" applyNumberFormat="1" applyFont="1" applyBorder="1">
      <alignment vertical="center"/>
    </xf>
    <xf numFmtId="182" fontId="17" fillId="0" borderId="0" xfId="0" applyNumberFormat="1" applyFont="1">
      <alignment vertical="center"/>
    </xf>
    <xf numFmtId="9" fontId="17" fillId="9" borderId="24" xfId="0" applyNumberFormat="1" applyFont="1" applyFill="1" applyBorder="1">
      <alignment vertical="center"/>
    </xf>
    <xf numFmtId="0" fontId="17" fillId="8" borderId="24" xfId="0" applyFont="1" applyFill="1" applyBorder="1" applyAlignment="1">
      <alignment vertical="center" wrapText="1"/>
    </xf>
    <xf numFmtId="180" fontId="17" fillId="0" borderId="48" xfId="0" applyNumberFormat="1" applyFont="1" applyBorder="1">
      <alignment vertical="center"/>
    </xf>
    <xf numFmtId="180" fontId="17" fillId="0" borderId="49" xfId="0" applyNumberFormat="1" applyFont="1" applyBorder="1">
      <alignment vertical="center"/>
    </xf>
    <xf numFmtId="180" fontId="17" fillId="0" borderId="51" xfId="0" applyNumberFormat="1" applyFont="1" applyBorder="1">
      <alignment vertical="center"/>
    </xf>
    <xf numFmtId="180" fontId="17" fillId="0" borderId="52" xfId="0" applyNumberFormat="1" applyFont="1" applyBorder="1">
      <alignment vertical="center"/>
    </xf>
    <xf numFmtId="180" fontId="17" fillId="0" borderId="54" xfId="0" applyNumberFormat="1" applyFont="1" applyBorder="1">
      <alignment vertical="center"/>
    </xf>
    <xf numFmtId="180" fontId="17" fillId="0" borderId="55" xfId="0" applyNumberFormat="1" applyFont="1" applyBorder="1">
      <alignment vertical="center"/>
    </xf>
    <xf numFmtId="180" fontId="17" fillId="9" borderId="24" xfId="0" applyNumberFormat="1" applyFont="1" applyFill="1" applyBorder="1">
      <alignment vertical="center"/>
    </xf>
    <xf numFmtId="0" fontId="20" fillId="0" borderId="0" xfId="0" applyFont="1">
      <alignment vertical="center"/>
    </xf>
    <xf numFmtId="0" fontId="21" fillId="10" borderId="0" xfId="0" applyFont="1" applyFill="1">
      <alignment vertical="center"/>
    </xf>
    <xf numFmtId="0" fontId="21" fillId="10" borderId="0" xfId="0" applyFont="1" applyFill="1" applyAlignment="1">
      <alignment vertical="center" wrapText="1"/>
    </xf>
    <xf numFmtId="55" fontId="17" fillId="0" borderId="0" xfId="0" applyNumberFormat="1" applyFont="1">
      <alignment vertical="center"/>
    </xf>
    <xf numFmtId="9" fontId="17" fillId="0" borderId="0" xfId="0" applyNumberFormat="1" applyFont="1">
      <alignment vertical="center"/>
    </xf>
    <xf numFmtId="5" fontId="17" fillId="0" borderId="0" xfId="0" applyNumberFormat="1" applyFont="1">
      <alignment vertical="center"/>
    </xf>
    <xf numFmtId="0" fontId="0" fillId="12" borderId="0" xfId="0" applyFill="1">
      <alignment vertical="center"/>
    </xf>
    <xf numFmtId="184" fontId="0" fillId="4" borderId="0" xfId="0" applyNumberFormat="1" applyFill="1" applyAlignment="1">
      <alignment horizontal="left" vertical="center"/>
    </xf>
    <xf numFmtId="184" fontId="0" fillId="5" borderId="0" xfId="0" applyNumberFormat="1" applyFill="1" applyAlignment="1">
      <alignment horizontal="left" vertical="center"/>
    </xf>
    <xf numFmtId="184" fontId="0" fillId="5" borderId="0" xfId="0" applyNumberFormat="1" applyFill="1" applyBorder="1" applyAlignment="1">
      <alignment horizontal="left" vertical="center"/>
    </xf>
    <xf numFmtId="184" fontId="0" fillId="6" borderId="0" xfId="0" applyNumberFormat="1" applyFill="1" applyAlignment="1">
      <alignment horizontal="left" vertical="center"/>
    </xf>
    <xf numFmtId="184" fontId="0" fillId="6" borderId="0" xfId="0" applyNumberFormat="1" applyFill="1">
      <alignment vertical="center"/>
    </xf>
    <xf numFmtId="184" fontId="0" fillId="6" borderId="0" xfId="0" applyNumberFormat="1" applyFill="1" applyBorder="1" applyAlignment="1">
      <alignment horizontal="left" vertical="center"/>
    </xf>
    <xf numFmtId="184" fontId="0" fillId="0" borderId="0" xfId="0" applyNumberFormat="1" applyAlignment="1">
      <alignment horizontal="left" vertical="center"/>
    </xf>
    <xf numFmtId="184" fontId="0" fillId="0" borderId="12" xfId="0" applyNumberFormat="1" applyBorder="1" applyAlignment="1">
      <alignment horizontal="left" vertical="center"/>
    </xf>
    <xf numFmtId="14" fontId="0" fillId="4" borderId="0" xfId="0" applyNumberFormat="1" applyFill="1">
      <alignment vertical="center"/>
    </xf>
    <xf numFmtId="14" fontId="0" fillId="5" borderId="0" xfId="0" applyNumberFormat="1" applyFill="1">
      <alignment vertical="center"/>
    </xf>
    <xf numFmtId="14" fontId="0" fillId="6" borderId="0" xfId="0" applyNumberFormat="1" applyFill="1">
      <alignment vertical="center"/>
    </xf>
    <xf numFmtId="0" fontId="5" fillId="0" borderId="24" xfId="0" applyFont="1" applyBorder="1" applyAlignment="1">
      <alignment vertical="center" wrapText="1"/>
    </xf>
    <xf numFmtId="14" fontId="5" fillId="0" borderId="0" xfId="0" applyNumberFormat="1" applyFont="1" applyAlignment="1">
      <alignment horizontal="left" vertical="center"/>
    </xf>
    <xf numFmtId="0" fontId="5" fillId="0" borderId="24" xfId="0" applyFont="1" applyBorder="1" applyAlignment="1">
      <alignment vertical="center" wrapText="1"/>
    </xf>
    <xf numFmtId="0" fontId="23" fillId="0" borderId="24" xfId="0" applyFont="1" applyBorder="1" applyAlignment="1">
      <alignment vertical="center" wrapText="1"/>
    </xf>
    <xf numFmtId="0" fontId="24" fillId="0" borderId="0" xfId="0" applyFont="1" applyAlignment="1">
      <alignment horizontal="left" vertical="center"/>
    </xf>
    <xf numFmtId="0" fontId="0" fillId="0" borderId="24" xfId="0" applyBorder="1" applyAlignment="1">
      <alignment horizontal="center" vertical="center"/>
    </xf>
    <xf numFmtId="0" fontId="0" fillId="0" borderId="3" xfId="0" applyBorder="1" applyAlignment="1">
      <alignment vertical="center" wrapText="1"/>
    </xf>
    <xf numFmtId="0" fontId="0" fillId="0" borderId="3" xfId="0" applyBorder="1" applyAlignment="1">
      <alignment vertical="center"/>
    </xf>
    <xf numFmtId="0" fontId="5" fillId="0" borderId="24" xfId="0" applyFont="1" applyBorder="1" applyAlignment="1">
      <alignment vertical="center" wrapText="1"/>
    </xf>
    <xf numFmtId="0" fontId="0" fillId="0" borderId="24" xfId="0" applyBorder="1" applyAlignment="1">
      <alignment vertical="center"/>
    </xf>
    <xf numFmtId="0" fontId="0" fillId="0" borderId="24" xfId="0" applyBorder="1" applyAlignment="1">
      <alignment vertical="center" wrapText="1"/>
    </xf>
    <xf numFmtId="9" fontId="0" fillId="0" borderId="31" xfId="0" applyNumberFormat="1" applyBorder="1" applyAlignment="1">
      <alignment vertical="center"/>
    </xf>
    <xf numFmtId="0" fontId="0" fillId="0" borderId="32" xfId="0" applyBorder="1" applyAlignment="1">
      <alignment vertical="center"/>
    </xf>
    <xf numFmtId="0" fontId="11" fillId="7" borderId="7" xfId="0" applyNumberFormat="1" applyFont="1" applyFill="1" applyBorder="1" applyAlignment="1" applyProtection="1">
      <alignment horizontal="center" vertical="center"/>
    </xf>
    <xf numFmtId="0" fontId="11" fillId="7" borderId="8" xfId="0" applyNumberFormat="1" applyFont="1" applyFill="1" applyBorder="1" applyAlignment="1" applyProtection="1">
      <alignment horizontal="center" vertical="center"/>
    </xf>
    <xf numFmtId="0" fontId="0" fillId="0" borderId="19" xfId="0" applyBorder="1" applyAlignment="1">
      <alignment vertical="center"/>
    </xf>
    <xf numFmtId="0" fontId="0" fillId="0" borderId="20" xfId="0" applyBorder="1" applyAlignment="1">
      <alignment vertical="center"/>
    </xf>
    <xf numFmtId="0" fontId="11" fillId="7" borderId="13" xfId="0" applyNumberFormat="1" applyFont="1" applyFill="1" applyBorder="1" applyAlignment="1" applyProtection="1">
      <alignment horizontal="center" vertical="center"/>
    </xf>
    <xf numFmtId="0" fontId="11" fillId="7" borderId="14" xfId="0" applyNumberFormat="1" applyFont="1" applyFill="1" applyBorder="1" applyAlignment="1" applyProtection="1">
      <alignment horizontal="center" vertical="center"/>
    </xf>
    <xf numFmtId="0" fontId="0" fillId="0" borderId="14" xfId="0" applyBorder="1" applyAlignment="1">
      <alignment vertical="center"/>
    </xf>
    <xf numFmtId="0" fontId="0" fillId="0" borderId="15" xfId="0" applyBorder="1" applyAlignment="1">
      <alignment vertical="center"/>
    </xf>
    <xf numFmtId="0" fontId="0" fillId="0" borderId="19" xfId="0" applyBorder="1" applyAlignment="1">
      <alignment horizontal="right" vertical="center"/>
    </xf>
    <xf numFmtId="0" fontId="0" fillId="0" borderId="20" xfId="0" applyBorder="1" applyAlignment="1">
      <alignment horizontal="right" vertical="center"/>
    </xf>
    <xf numFmtId="0" fontId="14" fillId="0" borderId="43" xfId="0" applyFont="1" applyBorder="1" applyAlignment="1">
      <alignment horizontal="center" vertical="center" wrapText="1"/>
    </xf>
    <xf numFmtId="0" fontId="0" fillId="0" borderId="43" xfId="0" applyBorder="1" applyAlignment="1">
      <alignment horizontal="center" vertical="center" wrapText="1"/>
    </xf>
    <xf numFmtId="0" fontId="17" fillId="8" borderId="23" xfId="0" applyFont="1" applyFill="1" applyBorder="1" applyAlignment="1">
      <alignment horizontal="center" vertical="center"/>
    </xf>
    <xf numFmtId="0" fontId="17" fillId="8" borderId="56" xfId="0" applyFont="1" applyFill="1" applyBorder="1" applyAlignment="1">
      <alignment horizontal="center" vertical="center"/>
    </xf>
    <xf numFmtId="0" fontId="17" fillId="8" borderId="57" xfId="0" applyFont="1" applyFill="1" applyBorder="1" applyAlignment="1">
      <alignment horizontal="center" vertical="center"/>
    </xf>
    <xf numFmtId="0" fontId="17" fillId="8" borderId="24" xfId="0" applyFont="1" applyFill="1" applyBorder="1" applyAlignment="1">
      <alignment horizontal="center" vertical="center" wrapText="1"/>
    </xf>
    <xf numFmtId="0" fontId="17" fillId="8" borderId="24" xfId="0" applyFont="1" applyFill="1" applyBorder="1" applyAlignment="1">
      <alignment horizontal="center" vertical="center"/>
    </xf>
    <xf numFmtId="0" fontId="22" fillId="11" borderId="24" xfId="0" applyFont="1" applyFill="1" applyBorder="1" applyAlignment="1">
      <alignment horizontal="center" vertical="center"/>
    </xf>
    <xf numFmtId="5" fontId="17" fillId="0" borderId="24" xfId="0" applyNumberFormat="1" applyFont="1" applyBorder="1" applyAlignment="1">
      <alignment horizontal="center" vertical="center"/>
    </xf>
    <xf numFmtId="5" fontId="17" fillId="9" borderId="24" xfId="0" applyNumberFormat="1" applyFont="1" applyFill="1" applyBorder="1" applyAlignment="1">
      <alignment horizontal="center" vertical="center"/>
    </xf>
    <xf numFmtId="183" fontId="17" fillId="0" borderId="24" xfId="0" applyNumberFormat="1" applyFont="1" applyBorder="1" applyAlignment="1">
      <alignment horizontal="center"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layout/>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0</c:v>
                </c:pt>
                <c:pt idx="1">
                  <c:v>0</c:v>
                </c:pt>
                <c:pt idx="2">
                  <c:v>0</c:v>
                </c:pt>
                <c:pt idx="3">
                  <c:v>9737</c:v>
                </c:pt>
                <c:pt idx="4">
                  <c:v>68953</c:v>
                </c:pt>
                <c:pt idx="5">
                  <c:v>0</c:v>
                </c:pt>
                <c:pt idx="6">
                  <c:v>0</c:v>
                </c:pt>
                <c:pt idx="7">
                  <c:v>129624</c:v>
                </c:pt>
                <c:pt idx="8">
                  <c:v>62599</c:v>
                </c:pt>
                <c:pt idx="9">
                  <c:v>0</c:v>
                </c:pt>
                <c:pt idx="10">
                  <c:v>89640</c:v>
                </c:pt>
                <c:pt idx="11">
                  <c:v>32083</c:v>
                </c:pt>
                <c:pt idx="12">
                  <c:v>4615</c:v>
                </c:pt>
                <c:pt idx="13">
                  <c:v>40151</c:v>
                </c:pt>
                <c:pt idx="14">
                  <c:v>0</c:v>
                </c:pt>
                <c:pt idx="15">
                  <c:v>0</c:v>
                </c:pt>
                <c:pt idx="16">
                  <c:v>32131</c:v>
                </c:pt>
                <c:pt idx="17">
                  <c:v>0</c:v>
                </c:pt>
                <c:pt idx="18">
                  <c:v>0</c:v>
                </c:pt>
                <c:pt idx="19">
                  <c:v>0</c:v>
                </c:pt>
                <c:pt idx="20">
                  <c:v>0</c:v>
                </c:pt>
                <c:pt idx="21">
                  <c:v>0</c:v>
                </c:pt>
                <c:pt idx="22">
                  <c:v>25608</c:v>
                </c:pt>
                <c:pt idx="23">
                  <c:v>108098</c:v>
                </c:pt>
                <c:pt idx="24">
                  <c:v>7106</c:v>
                </c:pt>
                <c:pt idx="25">
                  <c:v>0</c:v>
                </c:pt>
                <c:pt idx="26">
                  <c:v>0</c:v>
                </c:pt>
                <c:pt idx="27">
                  <c:v>13830</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4500</c:v>
                </c:pt>
                <c:pt idx="1">
                  <c:v>53704</c:v>
                </c:pt>
                <c:pt idx="2">
                  <c:v>29100</c:v>
                </c:pt>
                <c:pt idx="3">
                  <c:v>16014</c:v>
                </c:pt>
                <c:pt idx="4">
                  <c:v>25042</c:v>
                </c:pt>
                <c:pt idx="5">
                  <c:v>28059</c:v>
                </c:pt>
                <c:pt idx="6">
                  <c:v>38583</c:v>
                </c:pt>
                <c:pt idx="7">
                  <c:v>39282</c:v>
                </c:pt>
                <c:pt idx="8">
                  <c:v>99663</c:v>
                </c:pt>
                <c:pt idx="9">
                  <c:v>0</c:v>
                </c:pt>
                <c:pt idx="10">
                  <c:v>51349</c:v>
                </c:pt>
                <c:pt idx="11">
                  <c:v>44650</c:v>
                </c:pt>
                <c:pt idx="12">
                  <c:v>47672</c:v>
                </c:pt>
                <c:pt idx="13">
                  <c:v>0</c:v>
                </c:pt>
                <c:pt idx="14">
                  <c:v>0</c:v>
                </c:pt>
                <c:pt idx="15">
                  <c:v>35576</c:v>
                </c:pt>
                <c:pt idx="16">
                  <c:v>33758</c:v>
                </c:pt>
                <c:pt idx="17">
                  <c:v>0</c:v>
                </c:pt>
                <c:pt idx="18">
                  <c:v>15201</c:v>
                </c:pt>
                <c:pt idx="19">
                  <c:v>0</c:v>
                </c:pt>
                <c:pt idx="20">
                  <c:v>31510</c:v>
                </c:pt>
                <c:pt idx="21">
                  <c:v>0</c:v>
                </c:pt>
                <c:pt idx="22">
                  <c:v>106184</c:v>
                </c:pt>
                <c:pt idx="23">
                  <c:v>114508</c:v>
                </c:pt>
                <c:pt idx="24">
                  <c:v>17613</c:v>
                </c:pt>
                <c:pt idx="25">
                  <c:v>0</c:v>
                </c:pt>
                <c:pt idx="26">
                  <c:v>0</c:v>
                </c:pt>
                <c:pt idx="27">
                  <c:v>51711</c:v>
                </c:pt>
              </c:numCache>
            </c:numRef>
          </c:val>
        </c:ser>
        <c:axId val="52062080"/>
        <c:axId val="52063616"/>
      </c:barChart>
      <c:catAx>
        <c:axId val="52062080"/>
        <c:scaling>
          <c:orientation val="minMax"/>
        </c:scaling>
        <c:axPos val="b"/>
        <c:majorTickMark val="none"/>
        <c:tickLblPos val="nextTo"/>
        <c:crossAx val="52063616"/>
        <c:crosses val="autoZero"/>
        <c:auto val="1"/>
        <c:lblAlgn val="ctr"/>
        <c:lblOffset val="100"/>
      </c:catAx>
      <c:valAx>
        <c:axId val="52063616"/>
        <c:scaling>
          <c:orientation val="minMax"/>
        </c:scaling>
        <c:axPos val="l"/>
        <c:majorGridlines/>
        <c:numFmt formatCode="&quot;¥&quot;#,##0;[Red]\-&quot;¥&quot;#,##0" sourceLinked="1"/>
        <c:majorTickMark val="none"/>
        <c:tickLblPos val="nextTo"/>
        <c:crossAx val="52062080"/>
        <c:crosses val="autoZero"/>
        <c:crossBetween val="between"/>
      </c:valAx>
    </c:plotArea>
    <c:legend>
      <c:legendPos val="r"/>
      <c:layout/>
    </c:legend>
    <c:plotVisOnly val="1"/>
    <c:dispBlanksAs val="gap"/>
  </c:chart>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layout/>
    </c:title>
    <c:plotArea>
      <c:layout>
        <c:manualLayout>
          <c:layoutTarget val="inner"/>
          <c:xMode val="edge"/>
          <c:yMode val="edge"/>
          <c:x val="0.17518665083826504"/>
          <c:y val="0.13433611724119821"/>
          <c:w val="0.6612682954802227"/>
          <c:h val="0.6782488029714937"/>
        </c:manualLayout>
      </c:layout>
      <c:lineChart>
        <c:grouping val="standard"/>
        <c:ser>
          <c:idx val="0"/>
          <c:order val="0"/>
          <c:tx>
            <c:v>資金推移</c:v>
          </c:tx>
          <c:marker>
            <c:symbol val="none"/>
          </c:marker>
          <c:cat>
            <c:numRef>
              <c:f>成績表!$A$46:$A$63</c:f>
              <c:numCache>
                <c:formatCode>yyyy"年"mm"月"</c:formatCode>
                <c:ptCount val="18"/>
                <c:pt idx="0">
                  <c:v>42217</c:v>
                </c:pt>
                <c:pt idx="1">
                  <c:v>42248</c:v>
                </c:pt>
                <c:pt idx="2">
                  <c:v>42278</c:v>
                </c:pt>
                <c:pt idx="3">
                  <c:v>42309</c:v>
                </c:pt>
                <c:pt idx="4">
                  <c:v>42339</c:v>
                </c:pt>
                <c:pt idx="5">
                  <c:v>42370</c:v>
                </c:pt>
                <c:pt idx="6">
                  <c:v>42401</c:v>
                </c:pt>
                <c:pt idx="7">
                  <c:v>42430</c:v>
                </c:pt>
                <c:pt idx="8">
                  <c:v>42461</c:v>
                </c:pt>
                <c:pt idx="9">
                  <c:v>42491</c:v>
                </c:pt>
                <c:pt idx="10">
                  <c:v>42522</c:v>
                </c:pt>
                <c:pt idx="11">
                  <c:v>42552</c:v>
                </c:pt>
                <c:pt idx="12">
                  <c:v>42583</c:v>
                </c:pt>
                <c:pt idx="13">
                  <c:v>42614</c:v>
                </c:pt>
                <c:pt idx="14">
                  <c:v>42644</c:v>
                </c:pt>
                <c:pt idx="15">
                  <c:v>42675</c:v>
                </c:pt>
                <c:pt idx="16">
                  <c:v>42705</c:v>
                </c:pt>
                <c:pt idx="17">
                  <c:v>42736</c:v>
                </c:pt>
              </c:numCache>
            </c:numRef>
          </c:cat>
          <c:val>
            <c:numRef>
              <c:f>(成績表!$C$2,成績表!$O$46:$O$63)</c:f>
              <c:numCache>
                <c:formatCode>"¥"#,##0;\-"¥"#,##0</c:formatCode>
                <c:ptCount val="19"/>
                <c:pt idx="0">
                  <c:v>1000000</c:v>
                </c:pt>
                <c:pt idx="1">
                  <c:v>941885</c:v>
                </c:pt>
                <c:pt idx="2">
                  <c:v>922885</c:v>
                </c:pt>
                <c:pt idx="3">
                  <c:v>808979</c:v>
                </c:pt>
                <c:pt idx="4">
                  <c:v>808979</c:v>
                </c:pt>
                <c:pt idx="5">
                  <c:v>808979</c:v>
                </c:pt>
                <c:pt idx="6">
                  <c:v>808979</c:v>
                </c:pt>
                <c:pt idx="7">
                  <c:v>808979</c:v>
                </c:pt>
                <c:pt idx="8">
                  <c:v>808979</c:v>
                </c:pt>
                <c:pt idx="9">
                  <c:v>808979</c:v>
                </c:pt>
                <c:pt idx="10">
                  <c:v>808979</c:v>
                </c:pt>
                <c:pt idx="11">
                  <c:v>808979</c:v>
                </c:pt>
                <c:pt idx="12">
                  <c:v>808979</c:v>
                </c:pt>
                <c:pt idx="13">
                  <c:v>808979</c:v>
                </c:pt>
                <c:pt idx="14">
                  <c:v>808979</c:v>
                </c:pt>
                <c:pt idx="15">
                  <c:v>808979</c:v>
                </c:pt>
                <c:pt idx="16">
                  <c:v>808979</c:v>
                </c:pt>
                <c:pt idx="17">
                  <c:v>808979</c:v>
                </c:pt>
                <c:pt idx="18">
                  <c:v>808979</c:v>
                </c:pt>
              </c:numCache>
            </c:numRef>
          </c:val>
        </c:ser>
        <c:marker val="1"/>
        <c:axId val="52099328"/>
        <c:axId val="90181632"/>
      </c:lineChart>
      <c:dateAx>
        <c:axId val="52099328"/>
        <c:scaling>
          <c:orientation val="minMax"/>
        </c:scaling>
        <c:axPos val="b"/>
        <c:numFmt formatCode="yyyy&quot;年&quot;mm&quot;月&quot;" sourceLinked="1"/>
        <c:majorTickMark val="none"/>
        <c:tickLblPos val="nextTo"/>
        <c:crossAx val="90181632"/>
        <c:crosses val="autoZero"/>
        <c:auto val="1"/>
        <c:lblOffset val="100"/>
        <c:baseTimeUnit val="months"/>
      </c:dateAx>
      <c:valAx>
        <c:axId val="90181632"/>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2823"/>
            </c:manualLayout>
          </c:layout>
        </c:title>
        <c:numFmt formatCode="&quot;¥&quot;#,##0;\-&quot;¥&quot;#,##0" sourceLinked="1"/>
        <c:majorTickMark val="none"/>
        <c:tickLblPos val="nextTo"/>
        <c:crossAx val="52099328"/>
        <c:crosses val="autoZero"/>
        <c:crossBetween val="between"/>
      </c:valAx>
    </c:plotArea>
    <c:legend>
      <c:legendPos val="r"/>
      <c:layout/>
    </c:legend>
    <c:plotVisOnly val="1"/>
    <c:dispBlanksAs val="gap"/>
  </c:chart>
  <c:printSettings>
    <c:headerFooter/>
    <c:pageMargins b="0.75000000000000167" l="0.70000000000000062" r="0.70000000000000062" t="0.75000000000000167"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29459</xdr:rowOff>
    </xdr:from>
    <xdr:to>
      <xdr:col>18</xdr:col>
      <xdr:colOff>161924</xdr:colOff>
      <xdr:row>30</xdr:row>
      <xdr:rowOff>88376</xdr:rowOff>
    </xdr:to>
    <xdr:pic>
      <xdr:nvPicPr>
        <xdr:cNvPr id="11265" name="Picture 1"/>
        <xdr:cNvPicPr>
          <a:picLocks noChangeAspect="1" noChangeArrowheads="1"/>
        </xdr:cNvPicPr>
      </xdr:nvPicPr>
      <xdr:blipFill>
        <a:blip xmlns:r="http://schemas.openxmlformats.org/officeDocument/2006/relationships" r:embed="rId1"/>
        <a:srcRect l="5198" t="17226" b="11664"/>
        <a:stretch>
          <a:fillRect/>
        </a:stretch>
      </xdr:blipFill>
      <xdr:spPr bwMode="auto">
        <a:xfrm>
          <a:off x="0" y="29459"/>
          <a:ext cx="12357852" cy="5066907"/>
        </a:xfrm>
        <a:prstGeom prst="rect">
          <a:avLst/>
        </a:prstGeom>
        <a:noFill/>
        <a:ln w="1">
          <a:noFill/>
          <a:miter lim="800000"/>
          <a:headEnd/>
          <a:tailEnd type="none" w="med" len="med"/>
        </a:ln>
        <a:effectLst/>
      </xdr:spPr>
    </xdr:pic>
    <xdr:clientData/>
  </xdr:twoCellAnchor>
  <xdr:twoCellAnchor>
    <xdr:from>
      <xdr:col>5</xdr:col>
      <xdr:colOff>569535</xdr:colOff>
      <xdr:row>15</xdr:row>
      <xdr:rowOff>137474</xdr:rowOff>
    </xdr:from>
    <xdr:to>
      <xdr:col>8</xdr:col>
      <xdr:colOff>638273</xdr:colOff>
      <xdr:row>15</xdr:row>
      <xdr:rowOff>139062</xdr:rowOff>
    </xdr:to>
    <xdr:cxnSp macro="">
      <xdr:nvCxnSpPr>
        <xdr:cNvPr id="37" name="直線コネクタ 36"/>
        <xdr:cNvCxnSpPr/>
      </xdr:nvCxnSpPr>
      <xdr:spPr>
        <a:xfrm>
          <a:off x="3957293" y="2641469"/>
          <a:ext cx="2101392"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127655</xdr:colOff>
      <xdr:row>8</xdr:row>
      <xdr:rowOff>147294</xdr:rowOff>
    </xdr:from>
    <xdr:to>
      <xdr:col>8</xdr:col>
      <xdr:colOff>255310</xdr:colOff>
      <xdr:row>13</xdr:row>
      <xdr:rowOff>98196</xdr:rowOff>
    </xdr:to>
    <xdr:sp macro="" textlink="">
      <xdr:nvSpPr>
        <xdr:cNvPr id="39" name="角丸四角形吹き出し 38"/>
        <xdr:cNvSpPr/>
      </xdr:nvSpPr>
      <xdr:spPr>
        <a:xfrm>
          <a:off x="4192964" y="1482758"/>
          <a:ext cx="1482758" cy="785567"/>
        </a:xfrm>
        <a:prstGeom prst="wedgeRoundRectCallout">
          <a:avLst>
            <a:gd name="adj1" fmla="val 28836"/>
            <a:gd name="adj2" fmla="val 825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意識されていると見た直近高値ﾌﾞﾚｲｸで</a:t>
          </a:r>
          <a:r>
            <a:rPr kumimoji="1" lang="en-US" altLang="ja-JP" sz="1100"/>
            <a:t>IN</a:t>
          </a:r>
          <a:endParaRPr kumimoji="1" lang="ja-JP" altLang="en-US" sz="1100"/>
        </a:p>
      </xdr:txBody>
    </xdr:sp>
    <xdr:clientData/>
  </xdr:twoCellAnchor>
  <xdr:twoCellAnchor>
    <xdr:from>
      <xdr:col>8</xdr:col>
      <xdr:colOff>613921</xdr:colOff>
      <xdr:row>16</xdr:row>
      <xdr:rowOff>162218</xdr:rowOff>
    </xdr:from>
    <xdr:to>
      <xdr:col>11</xdr:col>
      <xdr:colOff>64024</xdr:colOff>
      <xdr:row>21</xdr:row>
      <xdr:rowOff>113120</xdr:rowOff>
    </xdr:to>
    <xdr:sp macro="" textlink="">
      <xdr:nvSpPr>
        <xdr:cNvPr id="40" name="角丸四角形吹き出し 39"/>
        <xdr:cNvSpPr/>
      </xdr:nvSpPr>
      <xdr:spPr>
        <a:xfrm>
          <a:off x="6034333" y="2833146"/>
          <a:ext cx="1482758" cy="785567"/>
        </a:xfrm>
        <a:prstGeom prst="wedgeRoundRectCallout">
          <a:avLst>
            <a:gd name="adj1" fmla="val -69177"/>
            <a:gd name="adj2" fmla="val -7625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一旦上げた後下がってきて建値撤退</a:t>
          </a:r>
        </a:p>
      </xdr:txBody>
    </xdr:sp>
    <xdr:clientData/>
  </xdr:twoCellAnchor>
  <xdr:twoCellAnchor>
    <xdr:from>
      <xdr:col>11</xdr:col>
      <xdr:colOff>285161</xdr:colOff>
      <xdr:row>16</xdr:row>
      <xdr:rowOff>39670</xdr:rowOff>
    </xdr:from>
    <xdr:to>
      <xdr:col>13</xdr:col>
      <xdr:colOff>412816</xdr:colOff>
      <xdr:row>20</xdr:row>
      <xdr:rowOff>157505</xdr:rowOff>
    </xdr:to>
    <xdr:sp macro="" textlink="">
      <xdr:nvSpPr>
        <xdr:cNvPr id="41" name="角丸四角形吹き出し 40"/>
        <xdr:cNvSpPr/>
      </xdr:nvSpPr>
      <xdr:spPr>
        <a:xfrm>
          <a:off x="7738228" y="2710598"/>
          <a:ext cx="1482758" cy="785567"/>
        </a:xfrm>
        <a:prstGeom prst="wedgeRoundRectCallout">
          <a:avLst>
            <a:gd name="adj1" fmla="val -69839"/>
            <a:gd name="adj2" fmla="val -1125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FS</a:t>
          </a:r>
          <a:r>
            <a:rPr kumimoji="1" lang="ja-JP" altLang="en-US" sz="1100"/>
            <a:t>だった！</a:t>
          </a:r>
          <a:endParaRPr kumimoji="1" lang="en-US" altLang="ja-JP" sz="1100"/>
        </a:p>
        <a:p>
          <a:pPr algn="ctr"/>
          <a:r>
            <a:rPr kumimoji="1" lang="ja-JP" altLang="en-US" sz="1100"/>
            <a:t>その後ジリ上げ</a:t>
          </a:r>
        </a:p>
      </xdr:txBody>
    </xdr:sp>
    <xdr:clientData/>
  </xdr:twoCellAnchor>
  <xdr:twoCellAnchor>
    <xdr:from>
      <xdr:col>0</xdr:col>
      <xdr:colOff>269843</xdr:colOff>
      <xdr:row>0</xdr:row>
      <xdr:rowOff>117835</xdr:rowOff>
    </xdr:from>
    <xdr:to>
      <xdr:col>1</xdr:col>
      <xdr:colOff>387282</xdr:colOff>
      <xdr:row>2</xdr:row>
      <xdr:rowOff>49098</xdr:rowOff>
    </xdr:to>
    <xdr:sp macro="" textlink="">
      <xdr:nvSpPr>
        <xdr:cNvPr id="42" name="テキスト ボックス 41"/>
        <xdr:cNvSpPr txBox="1"/>
      </xdr:nvSpPr>
      <xdr:spPr>
        <a:xfrm>
          <a:off x="269843" y="117835"/>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No.97</a:t>
          </a:r>
          <a:endParaRPr kumimoji="1" lang="ja-JP" altLang="en-US" sz="1100"/>
        </a:p>
      </xdr:txBody>
    </xdr:sp>
    <xdr:clientData/>
  </xdr:twoCellAnchor>
  <xdr:twoCellAnchor>
    <xdr:from>
      <xdr:col>0</xdr:col>
      <xdr:colOff>265127</xdr:colOff>
      <xdr:row>2</xdr:row>
      <xdr:rowOff>142580</xdr:rowOff>
    </xdr:from>
    <xdr:to>
      <xdr:col>3</xdr:col>
      <xdr:colOff>98195</xdr:colOff>
      <xdr:row>7</xdr:row>
      <xdr:rowOff>92305</xdr:rowOff>
    </xdr:to>
    <xdr:sp macro="" textlink="">
      <xdr:nvSpPr>
        <xdr:cNvPr id="43" name="テキスト ボックス 42"/>
        <xdr:cNvSpPr txBox="1"/>
      </xdr:nvSpPr>
      <xdr:spPr>
        <a:xfrm>
          <a:off x="265127" y="476446"/>
          <a:ext cx="1865723" cy="7843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W</a:t>
          </a:r>
          <a:r>
            <a:rPr kumimoji="1" lang="ja-JP" altLang="en-US" sz="1100"/>
            <a:t>足で引いた</a:t>
          </a:r>
          <a:r>
            <a:rPr kumimoji="1" lang="en-US" altLang="ja-JP" sz="1100"/>
            <a:t>S/R</a:t>
          </a:r>
          <a:r>
            <a:rPr kumimoji="1" lang="ja-JP" altLang="en-US" sz="1100"/>
            <a:t>に</a:t>
          </a:r>
          <a:r>
            <a:rPr kumimoji="1" lang="en-US" altLang="ja-JP" sz="1100"/>
            <a:t>w</a:t>
          </a:r>
          <a:r>
            <a:rPr kumimoji="1" lang="ja-JP" altLang="en-US" sz="1100"/>
            <a:t>ﾎﾞﾄﾑ形成で、上げる方へ予想。</a:t>
          </a:r>
          <a:endParaRPr kumimoji="1" lang="en-US" altLang="ja-JP" sz="1100"/>
        </a:p>
        <a:p>
          <a:r>
            <a:rPr kumimoji="1" lang="ja-JP" altLang="en-US" sz="1100"/>
            <a:t>意識されていると見た直近高値を超えた所に指値設定</a:t>
          </a:r>
        </a:p>
      </xdr:txBody>
    </xdr:sp>
    <xdr:clientData/>
  </xdr:twoCellAnchor>
  <xdr:twoCellAnchor>
    <xdr:from>
      <xdr:col>0</xdr:col>
      <xdr:colOff>280448</xdr:colOff>
      <xdr:row>8</xdr:row>
      <xdr:rowOff>142972</xdr:rowOff>
    </xdr:from>
    <xdr:to>
      <xdr:col>2</xdr:col>
      <xdr:colOff>408103</xdr:colOff>
      <xdr:row>13</xdr:row>
      <xdr:rowOff>93874</xdr:rowOff>
    </xdr:to>
    <xdr:sp macro="" textlink="">
      <xdr:nvSpPr>
        <xdr:cNvPr id="44" name="角丸四角形吹き出し 43"/>
        <xdr:cNvSpPr/>
      </xdr:nvSpPr>
      <xdr:spPr>
        <a:xfrm>
          <a:off x="280448" y="1478436"/>
          <a:ext cx="1482758" cy="785567"/>
        </a:xfrm>
        <a:prstGeom prst="wedgeRoundRectCallout">
          <a:avLst>
            <a:gd name="adj1" fmla="val -16859"/>
            <a:gd name="adj2" fmla="val -7500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r>
            <a:rPr kumimoji="1" lang="ja-JP" altLang="en-US" sz="1100"/>
            <a:t>が伴ってなかった</a:t>
          </a:r>
          <a:endParaRPr kumimoji="1" lang="en-US" altLang="ja-JP" sz="1100"/>
        </a:p>
        <a:p>
          <a:pPr algn="ctr"/>
          <a:r>
            <a:rPr kumimoji="1" lang="ja-JP" altLang="en-US" sz="1100"/>
            <a:t>＝要素少な目</a:t>
          </a:r>
          <a:endParaRPr kumimoji="1" lang="en-US" altLang="ja-JP" sz="1100"/>
        </a:p>
      </xdr:txBody>
    </xdr:sp>
    <xdr:clientData/>
  </xdr:twoCellAnchor>
  <xdr:twoCellAnchor editAs="oneCell">
    <xdr:from>
      <xdr:col>0</xdr:col>
      <xdr:colOff>0</xdr:colOff>
      <xdr:row>96</xdr:row>
      <xdr:rowOff>29474</xdr:rowOff>
    </xdr:from>
    <xdr:to>
      <xdr:col>18</xdr:col>
      <xdr:colOff>161924</xdr:colOff>
      <xdr:row>126</xdr:row>
      <xdr:rowOff>137489</xdr:rowOff>
    </xdr:to>
    <xdr:pic>
      <xdr:nvPicPr>
        <xdr:cNvPr id="10241" name="Picture 1"/>
        <xdr:cNvPicPr>
          <a:picLocks noChangeAspect="1" noChangeArrowheads="1"/>
        </xdr:cNvPicPr>
      </xdr:nvPicPr>
      <xdr:blipFill>
        <a:blip xmlns:r="http://schemas.openxmlformats.org/officeDocument/2006/relationships" r:embed="rId2"/>
        <a:srcRect l="5198" t="16675" b="11526"/>
        <a:stretch>
          <a:fillRect/>
        </a:stretch>
      </xdr:blipFill>
      <xdr:spPr bwMode="auto">
        <a:xfrm>
          <a:off x="0" y="16055041"/>
          <a:ext cx="12357852" cy="5116005"/>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9819</xdr:rowOff>
    </xdr:from>
    <xdr:to>
      <xdr:col>18</xdr:col>
      <xdr:colOff>142285</xdr:colOff>
      <xdr:row>62</xdr:row>
      <xdr:rowOff>98196</xdr:rowOff>
    </xdr:to>
    <xdr:pic>
      <xdr:nvPicPr>
        <xdr:cNvPr id="10242" name="Picture 2"/>
        <xdr:cNvPicPr>
          <a:picLocks noChangeAspect="1" noChangeArrowheads="1"/>
        </xdr:cNvPicPr>
      </xdr:nvPicPr>
      <xdr:blipFill>
        <a:blip xmlns:r="http://schemas.openxmlformats.org/officeDocument/2006/relationships" r:embed="rId3"/>
        <a:srcRect l="5348" t="16951" b="11526"/>
        <a:stretch>
          <a:fillRect/>
        </a:stretch>
      </xdr:blipFill>
      <xdr:spPr bwMode="auto">
        <a:xfrm>
          <a:off x="0" y="5351675"/>
          <a:ext cx="12338213" cy="5096366"/>
        </a:xfrm>
        <a:prstGeom prst="rect">
          <a:avLst/>
        </a:prstGeom>
        <a:noFill/>
        <a:ln w="1">
          <a:noFill/>
          <a:miter lim="800000"/>
          <a:headEnd/>
          <a:tailEnd type="none" w="med" len="med"/>
        </a:ln>
        <a:effectLst/>
      </xdr:spPr>
    </xdr:pic>
    <xdr:clientData/>
  </xdr:twoCellAnchor>
  <xdr:twoCellAnchor>
    <xdr:from>
      <xdr:col>7</xdr:col>
      <xdr:colOff>437167</xdr:colOff>
      <xdr:row>48</xdr:row>
      <xdr:rowOff>14925</xdr:rowOff>
    </xdr:from>
    <xdr:to>
      <xdr:col>10</xdr:col>
      <xdr:colOff>505905</xdr:colOff>
      <xdr:row>48</xdr:row>
      <xdr:rowOff>16513</xdr:rowOff>
    </xdr:to>
    <xdr:cxnSp macro="">
      <xdr:nvCxnSpPr>
        <xdr:cNvPr id="45" name="直線コネクタ 44"/>
        <xdr:cNvCxnSpPr/>
      </xdr:nvCxnSpPr>
      <xdr:spPr>
        <a:xfrm>
          <a:off x="5180028" y="8027709"/>
          <a:ext cx="2101392"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166934</xdr:colOff>
      <xdr:row>32</xdr:row>
      <xdr:rowOff>152400</xdr:rowOff>
    </xdr:from>
    <xdr:to>
      <xdr:col>1</xdr:col>
      <xdr:colOff>284373</xdr:colOff>
      <xdr:row>34</xdr:row>
      <xdr:rowOff>83663</xdr:rowOff>
    </xdr:to>
    <xdr:sp macro="" textlink="">
      <xdr:nvSpPr>
        <xdr:cNvPr id="46" name="テキスト ボックス 45"/>
        <xdr:cNvSpPr txBox="1"/>
      </xdr:nvSpPr>
      <xdr:spPr>
        <a:xfrm>
          <a:off x="166934" y="5494256"/>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No.98,99</a:t>
          </a:r>
          <a:endParaRPr kumimoji="1" lang="ja-JP" altLang="en-US" sz="1100"/>
        </a:p>
      </xdr:txBody>
    </xdr:sp>
    <xdr:clientData/>
  </xdr:twoCellAnchor>
  <xdr:twoCellAnchor>
    <xdr:from>
      <xdr:col>0</xdr:col>
      <xdr:colOff>162218</xdr:colOff>
      <xdr:row>35</xdr:row>
      <xdr:rowOff>10211</xdr:rowOff>
    </xdr:from>
    <xdr:to>
      <xdr:col>2</xdr:col>
      <xdr:colOff>672838</xdr:colOff>
      <xdr:row>40</xdr:row>
      <xdr:rowOff>39277</xdr:rowOff>
    </xdr:to>
    <xdr:sp macro="" textlink="">
      <xdr:nvSpPr>
        <xdr:cNvPr id="47" name="テキスト ボックス 46"/>
        <xdr:cNvSpPr txBox="1"/>
      </xdr:nvSpPr>
      <xdr:spPr>
        <a:xfrm>
          <a:off x="162218" y="5852866"/>
          <a:ext cx="1865723" cy="8637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月曜の動画で、売りで紹介されていた相場で下落継続のチャートパターンが出ていたので</a:t>
          </a:r>
          <a:r>
            <a:rPr kumimoji="1" lang="en-US" altLang="ja-JP" sz="1100"/>
            <a:t>IN</a:t>
          </a:r>
          <a:r>
            <a:rPr kumimoji="1" lang="ja-JP" altLang="en-US" sz="1100"/>
            <a:t>タイミングを探った</a:t>
          </a:r>
        </a:p>
      </xdr:txBody>
    </xdr:sp>
    <xdr:clientData/>
  </xdr:twoCellAnchor>
  <xdr:twoCellAnchor>
    <xdr:from>
      <xdr:col>7</xdr:col>
      <xdr:colOff>29851</xdr:colOff>
      <xdr:row>51</xdr:row>
      <xdr:rowOff>147686</xdr:rowOff>
    </xdr:from>
    <xdr:to>
      <xdr:col>9</xdr:col>
      <xdr:colOff>157506</xdr:colOff>
      <xdr:row>56</xdr:row>
      <xdr:rowOff>98588</xdr:rowOff>
    </xdr:to>
    <xdr:sp macro="" textlink="">
      <xdr:nvSpPr>
        <xdr:cNvPr id="48" name="角丸四角形吹き出し 47"/>
        <xdr:cNvSpPr/>
      </xdr:nvSpPr>
      <xdr:spPr>
        <a:xfrm>
          <a:off x="4772712" y="8661268"/>
          <a:ext cx="1482758" cy="785567"/>
        </a:xfrm>
        <a:prstGeom prst="wedgeRoundRectCallout">
          <a:avLst>
            <a:gd name="adj1" fmla="val 63273"/>
            <a:gd name="adj2" fmla="val -12625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トレンドラインブレイク＋意識されていると読んだ直近安値下抜きで</a:t>
          </a:r>
          <a:r>
            <a:rPr kumimoji="1" lang="en-US" altLang="ja-JP" sz="1100"/>
            <a:t>IN</a:t>
          </a:r>
          <a:endParaRPr kumimoji="1" lang="ja-JP" altLang="en-US" sz="1100"/>
        </a:p>
      </xdr:txBody>
    </xdr:sp>
    <xdr:clientData/>
  </xdr:twoCellAnchor>
  <xdr:twoCellAnchor>
    <xdr:from>
      <xdr:col>9</xdr:col>
      <xdr:colOff>182252</xdr:colOff>
      <xdr:row>41</xdr:row>
      <xdr:rowOff>117834</xdr:rowOff>
    </xdr:from>
    <xdr:to>
      <xdr:col>10</xdr:col>
      <xdr:colOff>638274</xdr:colOff>
      <xdr:row>44</xdr:row>
      <xdr:rowOff>15317</xdr:rowOff>
    </xdr:to>
    <xdr:sp macro="" textlink="">
      <xdr:nvSpPr>
        <xdr:cNvPr id="49" name="角丸四角形吹き出し 48"/>
        <xdr:cNvSpPr/>
      </xdr:nvSpPr>
      <xdr:spPr>
        <a:xfrm>
          <a:off x="6280216" y="6962087"/>
          <a:ext cx="1133573" cy="398282"/>
        </a:xfrm>
        <a:prstGeom prst="wedgeRoundRectCallout">
          <a:avLst>
            <a:gd name="adj1" fmla="val -17020"/>
            <a:gd name="adj2" fmla="val 1952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F/S</a:t>
          </a:r>
          <a:r>
            <a:rPr kumimoji="1" lang="ja-JP" altLang="en-US" sz="1100"/>
            <a:t>で建値撤退</a:t>
          </a:r>
        </a:p>
      </xdr:txBody>
    </xdr:sp>
    <xdr:clientData/>
  </xdr:twoCellAnchor>
  <xdr:twoCellAnchor>
    <xdr:from>
      <xdr:col>9</xdr:col>
      <xdr:colOff>422634</xdr:colOff>
      <xdr:row>50</xdr:row>
      <xdr:rowOff>19640</xdr:rowOff>
    </xdr:from>
    <xdr:to>
      <xdr:col>13</xdr:col>
      <xdr:colOff>441882</xdr:colOff>
      <xdr:row>50</xdr:row>
      <xdr:rowOff>20033</xdr:rowOff>
    </xdr:to>
    <xdr:cxnSp macro="">
      <xdr:nvCxnSpPr>
        <xdr:cNvPr id="50" name="直線コネクタ 49"/>
        <xdr:cNvCxnSpPr/>
      </xdr:nvCxnSpPr>
      <xdr:spPr>
        <a:xfrm flipV="1">
          <a:off x="6520598" y="8366289"/>
          <a:ext cx="2729454" cy="393"/>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226636</xdr:colOff>
      <xdr:row>54</xdr:row>
      <xdr:rowOff>34564</xdr:rowOff>
    </xdr:from>
    <xdr:to>
      <xdr:col>13</xdr:col>
      <xdr:colOff>5106</xdr:colOff>
      <xdr:row>57</xdr:row>
      <xdr:rowOff>88376</xdr:rowOff>
    </xdr:to>
    <xdr:sp macro="" textlink="">
      <xdr:nvSpPr>
        <xdr:cNvPr id="54" name="角丸四角形吹き出し 53"/>
        <xdr:cNvSpPr/>
      </xdr:nvSpPr>
      <xdr:spPr>
        <a:xfrm>
          <a:off x="7679703" y="9048945"/>
          <a:ext cx="1133573" cy="554611"/>
        </a:xfrm>
        <a:prstGeom prst="wedgeRoundRectCallout">
          <a:avLst>
            <a:gd name="adj1" fmla="val -6625"/>
            <a:gd name="adj2" fmla="val -16087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新しくできた安値下抜きで</a:t>
          </a:r>
          <a:r>
            <a:rPr kumimoji="1" lang="en-US" altLang="ja-JP" sz="1100"/>
            <a:t>IN</a:t>
          </a:r>
          <a:endParaRPr kumimoji="1" lang="ja-JP" altLang="en-US" sz="1100"/>
        </a:p>
      </xdr:txBody>
    </xdr:sp>
    <xdr:clientData/>
  </xdr:twoCellAnchor>
  <xdr:twoCellAnchor>
    <xdr:from>
      <xdr:col>12</xdr:col>
      <xdr:colOff>261201</xdr:colOff>
      <xdr:row>42</xdr:row>
      <xdr:rowOff>147685</xdr:rowOff>
    </xdr:from>
    <xdr:to>
      <xdr:col>14</xdr:col>
      <xdr:colOff>39671</xdr:colOff>
      <xdr:row>46</xdr:row>
      <xdr:rowOff>34564</xdr:rowOff>
    </xdr:to>
    <xdr:sp macro="" textlink="">
      <xdr:nvSpPr>
        <xdr:cNvPr id="55" name="角丸四角形吹き出し 54"/>
        <xdr:cNvSpPr/>
      </xdr:nvSpPr>
      <xdr:spPr>
        <a:xfrm>
          <a:off x="8391820" y="7158871"/>
          <a:ext cx="1133573" cy="554611"/>
        </a:xfrm>
        <a:prstGeom prst="wedgeRoundRectCallout">
          <a:avLst>
            <a:gd name="adj1" fmla="val -21352"/>
            <a:gd name="adj2" fmla="val 1560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再び建値撤退</a:t>
          </a:r>
        </a:p>
      </xdr:txBody>
    </xdr:sp>
    <xdr:clientData/>
  </xdr:twoCellAnchor>
  <xdr:twoCellAnchor editAs="oneCell">
    <xdr:from>
      <xdr:col>0</xdr:col>
      <xdr:colOff>0</xdr:colOff>
      <xdr:row>64</xdr:row>
      <xdr:rowOff>9819</xdr:rowOff>
    </xdr:from>
    <xdr:to>
      <xdr:col>18</xdr:col>
      <xdr:colOff>142285</xdr:colOff>
      <xdr:row>94</xdr:row>
      <xdr:rowOff>137474</xdr:rowOff>
    </xdr:to>
    <xdr:pic>
      <xdr:nvPicPr>
        <xdr:cNvPr id="10243" name="Picture 3"/>
        <xdr:cNvPicPr>
          <a:picLocks noChangeAspect="1" noChangeArrowheads="1"/>
        </xdr:cNvPicPr>
      </xdr:nvPicPr>
      <xdr:blipFill>
        <a:blip xmlns:r="http://schemas.openxmlformats.org/officeDocument/2006/relationships" r:embed="rId4"/>
        <a:srcRect l="5348" t="16399" b="11526"/>
        <a:stretch>
          <a:fillRect/>
        </a:stretch>
      </xdr:blipFill>
      <xdr:spPr bwMode="auto">
        <a:xfrm>
          <a:off x="0" y="10693530"/>
          <a:ext cx="12338213" cy="5135645"/>
        </a:xfrm>
        <a:prstGeom prst="rect">
          <a:avLst/>
        </a:prstGeom>
        <a:noFill/>
        <a:ln w="1">
          <a:noFill/>
          <a:miter lim="800000"/>
          <a:headEnd/>
          <a:tailEnd type="none" w="med" len="med"/>
        </a:ln>
        <a:effectLst/>
      </xdr:spPr>
    </xdr:pic>
    <xdr:clientData/>
  </xdr:twoCellAnchor>
  <xdr:twoCellAnchor>
    <xdr:from>
      <xdr:col>0</xdr:col>
      <xdr:colOff>172040</xdr:colOff>
      <xdr:row>65</xdr:row>
      <xdr:rowOff>20033</xdr:rowOff>
    </xdr:from>
    <xdr:to>
      <xdr:col>1</xdr:col>
      <xdr:colOff>289479</xdr:colOff>
      <xdr:row>66</xdr:row>
      <xdr:rowOff>118229</xdr:rowOff>
    </xdr:to>
    <xdr:sp macro="" textlink="">
      <xdr:nvSpPr>
        <xdr:cNvPr id="57" name="テキスト ボックス 56"/>
        <xdr:cNvSpPr txBox="1"/>
      </xdr:nvSpPr>
      <xdr:spPr>
        <a:xfrm>
          <a:off x="172040" y="10870677"/>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No.100</a:t>
          </a:r>
          <a:endParaRPr kumimoji="1" lang="ja-JP" altLang="en-US" sz="1100"/>
        </a:p>
      </xdr:txBody>
    </xdr:sp>
    <xdr:clientData/>
  </xdr:twoCellAnchor>
  <xdr:twoCellAnchor>
    <xdr:from>
      <xdr:col>0</xdr:col>
      <xdr:colOff>167324</xdr:colOff>
      <xdr:row>67</xdr:row>
      <xdr:rowOff>44778</xdr:rowOff>
    </xdr:from>
    <xdr:to>
      <xdr:col>3</xdr:col>
      <xdr:colOff>392</xdr:colOff>
      <xdr:row>71</xdr:row>
      <xdr:rowOff>39280</xdr:rowOff>
    </xdr:to>
    <xdr:sp macro="" textlink="">
      <xdr:nvSpPr>
        <xdr:cNvPr id="58" name="テキスト ボックス 57"/>
        <xdr:cNvSpPr txBox="1"/>
      </xdr:nvSpPr>
      <xdr:spPr>
        <a:xfrm>
          <a:off x="167324" y="11229288"/>
          <a:ext cx="1865723" cy="6622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週足で引いた</a:t>
          </a:r>
          <a:r>
            <a:rPr kumimoji="1" lang="en-US" altLang="ja-JP" sz="1100"/>
            <a:t>S/R</a:t>
          </a:r>
          <a:r>
            <a:rPr kumimoji="1" lang="ja-JP" altLang="en-US" sz="1100"/>
            <a:t>に当たったところで後ろ下がりの</a:t>
          </a:r>
          <a:r>
            <a:rPr kumimoji="1" lang="en-US" altLang="ja-JP" sz="1100"/>
            <a:t>W</a:t>
          </a:r>
          <a:r>
            <a:rPr kumimoji="1" lang="ja-JP" altLang="en-US" sz="1100"/>
            <a:t>ﾎﾞﾄﾑ形成。</a:t>
          </a:r>
          <a:r>
            <a:rPr kumimoji="1" lang="en-US" altLang="ja-JP" sz="1100"/>
            <a:t>D/J</a:t>
          </a:r>
          <a:r>
            <a:rPr kumimoji="1" lang="ja-JP" altLang="en-US" sz="1100"/>
            <a:t>も出ていた。</a:t>
          </a:r>
        </a:p>
      </xdr:txBody>
    </xdr:sp>
    <xdr:clientData/>
  </xdr:twoCellAnchor>
  <xdr:twoCellAnchor>
    <xdr:from>
      <xdr:col>8</xdr:col>
      <xdr:colOff>604493</xdr:colOff>
      <xdr:row>81</xdr:row>
      <xdr:rowOff>162220</xdr:rowOff>
    </xdr:from>
    <xdr:to>
      <xdr:col>12</xdr:col>
      <xdr:colOff>623740</xdr:colOff>
      <xdr:row>81</xdr:row>
      <xdr:rowOff>162613</xdr:rowOff>
    </xdr:to>
    <xdr:cxnSp macro="">
      <xdr:nvCxnSpPr>
        <xdr:cNvPr id="59" name="直線コネクタ 58"/>
        <xdr:cNvCxnSpPr/>
      </xdr:nvCxnSpPr>
      <xdr:spPr>
        <a:xfrm flipV="1">
          <a:off x="6024905" y="13683792"/>
          <a:ext cx="2729454" cy="393"/>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113908</xdr:colOff>
      <xdr:row>74</xdr:row>
      <xdr:rowOff>137865</xdr:rowOff>
    </xdr:from>
    <xdr:to>
      <xdr:col>9</xdr:col>
      <xdr:colOff>569929</xdr:colOff>
      <xdr:row>78</xdr:row>
      <xdr:rowOff>24744</xdr:rowOff>
    </xdr:to>
    <xdr:sp macro="" textlink="">
      <xdr:nvSpPr>
        <xdr:cNvPr id="60" name="角丸四角形吹き出し 59"/>
        <xdr:cNvSpPr/>
      </xdr:nvSpPr>
      <xdr:spPr>
        <a:xfrm>
          <a:off x="5534320" y="12490906"/>
          <a:ext cx="1133573" cy="554611"/>
        </a:xfrm>
        <a:prstGeom prst="wedgeRoundRectCallout">
          <a:avLst>
            <a:gd name="adj1" fmla="val 45350"/>
            <a:gd name="adj2" fmla="val 15428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直近高値ブレイクで</a:t>
          </a:r>
          <a:r>
            <a:rPr kumimoji="1" lang="en-US" altLang="ja-JP" sz="1100"/>
            <a:t>IN</a:t>
          </a:r>
          <a:endParaRPr kumimoji="1" lang="ja-JP" altLang="en-US" sz="1100"/>
        </a:p>
      </xdr:txBody>
    </xdr:sp>
    <xdr:clientData/>
  </xdr:twoCellAnchor>
  <xdr:twoCellAnchor>
    <xdr:from>
      <xdr:col>11</xdr:col>
      <xdr:colOff>285947</xdr:colOff>
      <xdr:row>83</xdr:row>
      <xdr:rowOff>84054</xdr:rowOff>
    </xdr:from>
    <xdr:to>
      <xdr:col>13</xdr:col>
      <xdr:colOff>265129</xdr:colOff>
      <xdr:row>86</xdr:row>
      <xdr:rowOff>137866</xdr:rowOff>
    </xdr:to>
    <xdr:sp macro="" textlink="">
      <xdr:nvSpPr>
        <xdr:cNvPr id="61" name="角丸四角形吹き出し 60"/>
        <xdr:cNvSpPr/>
      </xdr:nvSpPr>
      <xdr:spPr>
        <a:xfrm>
          <a:off x="7739014" y="13939492"/>
          <a:ext cx="1334285" cy="554611"/>
        </a:xfrm>
        <a:prstGeom prst="wedgeRoundRectCallout">
          <a:avLst>
            <a:gd name="adj1" fmla="val -59857"/>
            <a:gd name="adj2" fmla="val -12545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を下抜いてストップ＝これも</a:t>
          </a:r>
          <a:r>
            <a:rPr kumimoji="1" lang="en-US" altLang="ja-JP" sz="1100"/>
            <a:t>FS</a:t>
          </a:r>
          <a:endParaRPr kumimoji="1" lang="ja-JP" altLang="en-US" sz="1100"/>
        </a:p>
      </xdr:txBody>
    </xdr:sp>
    <xdr:clientData/>
  </xdr:twoCellAnchor>
  <xdr:twoCellAnchor>
    <xdr:from>
      <xdr:col>9</xdr:col>
      <xdr:colOff>531042</xdr:colOff>
      <xdr:row>80</xdr:row>
      <xdr:rowOff>108016</xdr:rowOff>
    </xdr:from>
    <xdr:to>
      <xdr:col>12</xdr:col>
      <xdr:colOff>412422</xdr:colOff>
      <xdr:row>80</xdr:row>
      <xdr:rowOff>108802</xdr:rowOff>
    </xdr:to>
    <xdr:cxnSp macro="">
      <xdr:nvCxnSpPr>
        <xdr:cNvPr id="62" name="直線コネクタ 61"/>
        <xdr:cNvCxnSpPr/>
      </xdr:nvCxnSpPr>
      <xdr:spPr>
        <a:xfrm flipV="1">
          <a:off x="6629006" y="13462655"/>
          <a:ext cx="1914035" cy="786"/>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177146</xdr:colOff>
      <xdr:row>96</xdr:row>
      <xdr:rowOff>162614</xdr:rowOff>
    </xdr:from>
    <xdr:to>
      <xdr:col>1</xdr:col>
      <xdr:colOff>294585</xdr:colOff>
      <xdr:row>98</xdr:row>
      <xdr:rowOff>93877</xdr:rowOff>
    </xdr:to>
    <xdr:sp macro="" textlink="">
      <xdr:nvSpPr>
        <xdr:cNvPr id="65" name="テキスト ボックス 64"/>
        <xdr:cNvSpPr txBox="1"/>
      </xdr:nvSpPr>
      <xdr:spPr>
        <a:xfrm>
          <a:off x="177146" y="16188181"/>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No.101</a:t>
          </a:r>
          <a:endParaRPr kumimoji="1" lang="ja-JP" altLang="en-US" sz="1100"/>
        </a:p>
      </xdr:txBody>
    </xdr:sp>
    <xdr:clientData/>
  </xdr:twoCellAnchor>
  <xdr:twoCellAnchor>
    <xdr:from>
      <xdr:col>0</xdr:col>
      <xdr:colOff>172430</xdr:colOff>
      <xdr:row>99</xdr:row>
      <xdr:rowOff>20426</xdr:rowOff>
    </xdr:from>
    <xdr:to>
      <xdr:col>3</xdr:col>
      <xdr:colOff>5498</xdr:colOff>
      <xdr:row>104</xdr:row>
      <xdr:rowOff>58917</xdr:rowOff>
    </xdr:to>
    <xdr:sp macro="" textlink="">
      <xdr:nvSpPr>
        <xdr:cNvPr id="66" name="テキスト ボックス 65"/>
        <xdr:cNvSpPr txBox="1"/>
      </xdr:nvSpPr>
      <xdr:spPr>
        <a:xfrm>
          <a:off x="172430" y="16546792"/>
          <a:ext cx="1865723" cy="8731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週足で引いた</a:t>
          </a:r>
          <a:r>
            <a:rPr kumimoji="1" lang="en-US" altLang="ja-JP" sz="1100"/>
            <a:t>S/R</a:t>
          </a:r>
          <a:r>
            <a:rPr kumimoji="1" lang="ja-JP" altLang="en-US" sz="1100"/>
            <a:t>に当たったところで</a:t>
          </a:r>
          <a:r>
            <a:rPr kumimoji="1" lang="en-US" altLang="ja-JP" sz="1100"/>
            <a:t>T/L</a:t>
          </a:r>
          <a:r>
            <a:rPr kumimoji="1" lang="ja-JP" altLang="en-US" sz="1100"/>
            <a:t>ブレイク。</a:t>
          </a:r>
          <a:r>
            <a:rPr kumimoji="1" lang="en-US" altLang="ja-JP" sz="1100"/>
            <a:t>D/J</a:t>
          </a:r>
          <a:r>
            <a:rPr kumimoji="1" lang="ja-JP" altLang="en-US" sz="1100"/>
            <a:t>も出ていたので買いタイミングを探った。</a:t>
          </a:r>
        </a:p>
      </xdr:txBody>
    </xdr:sp>
    <xdr:clientData/>
  </xdr:twoCellAnchor>
  <xdr:twoCellAnchor>
    <xdr:from>
      <xdr:col>13</xdr:col>
      <xdr:colOff>428528</xdr:colOff>
      <xdr:row>98</xdr:row>
      <xdr:rowOff>108015</xdr:rowOff>
    </xdr:from>
    <xdr:to>
      <xdr:col>15</xdr:col>
      <xdr:colOff>206998</xdr:colOff>
      <xdr:row>102</xdr:row>
      <xdr:rowOff>44776</xdr:rowOff>
    </xdr:to>
    <xdr:sp macro="" textlink="">
      <xdr:nvSpPr>
        <xdr:cNvPr id="67" name="角丸四角形吹き出し 66"/>
        <xdr:cNvSpPr/>
      </xdr:nvSpPr>
      <xdr:spPr>
        <a:xfrm>
          <a:off x="9236698" y="16467448"/>
          <a:ext cx="1133573" cy="604493"/>
        </a:xfrm>
        <a:prstGeom prst="wedgeRoundRectCallout">
          <a:avLst>
            <a:gd name="adj1" fmla="val -96715"/>
            <a:gd name="adj2" fmla="val 13170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直近高値上抜きで</a:t>
          </a:r>
          <a:r>
            <a:rPr kumimoji="1" lang="en-US" altLang="ja-JP" sz="1100"/>
            <a:t>IN</a:t>
          </a:r>
        </a:p>
        <a:p>
          <a:pPr algn="ctr"/>
          <a:r>
            <a:rPr kumimoji="1" lang="ja-JP" altLang="en-US" sz="1100"/>
            <a:t>→ヒゲだった</a:t>
          </a:r>
        </a:p>
      </xdr:txBody>
    </xdr:sp>
    <xdr:clientData/>
  </xdr:twoCellAnchor>
  <xdr:twoCellAnchor>
    <xdr:from>
      <xdr:col>10</xdr:col>
      <xdr:colOff>349577</xdr:colOff>
      <xdr:row>105</xdr:row>
      <xdr:rowOff>83663</xdr:rowOff>
    </xdr:from>
    <xdr:to>
      <xdr:col>13</xdr:col>
      <xdr:colOff>230957</xdr:colOff>
      <xdr:row>105</xdr:row>
      <xdr:rowOff>84449</xdr:rowOff>
    </xdr:to>
    <xdr:cxnSp macro="">
      <xdr:nvCxnSpPr>
        <xdr:cNvPr id="68" name="直線コネクタ 67"/>
        <xdr:cNvCxnSpPr/>
      </xdr:nvCxnSpPr>
      <xdr:spPr>
        <a:xfrm flipV="1">
          <a:off x="7125092" y="17611627"/>
          <a:ext cx="1914035" cy="786"/>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355077</xdr:colOff>
      <xdr:row>106</xdr:row>
      <xdr:rowOff>0</xdr:rowOff>
    </xdr:from>
    <xdr:to>
      <xdr:col>16</xdr:col>
      <xdr:colOff>274948</xdr:colOff>
      <xdr:row>108</xdr:row>
      <xdr:rowOff>40062</xdr:rowOff>
    </xdr:to>
    <xdr:sp macro="" textlink="">
      <xdr:nvSpPr>
        <xdr:cNvPr id="69" name="角丸四角形吹き出し 68"/>
        <xdr:cNvSpPr/>
      </xdr:nvSpPr>
      <xdr:spPr>
        <a:xfrm>
          <a:off x="9840799" y="17694897"/>
          <a:ext cx="1274974" cy="373928"/>
        </a:xfrm>
        <a:prstGeom prst="wedgeRoundRectCallout">
          <a:avLst>
            <a:gd name="adj1" fmla="val -92094"/>
            <a:gd name="adj2" fmla="val 1816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急落でロスカット</a:t>
          </a:r>
        </a:p>
      </xdr:txBody>
    </xdr:sp>
    <xdr:clientData/>
  </xdr:twoCellAnchor>
  <xdr:twoCellAnchor>
    <xdr:from>
      <xdr:col>14</xdr:col>
      <xdr:colOff>203070</xdr:colOff>
      <xdr:row>112</xdr:row>
      <xdr:rowOff>49098</xdr:rowOff>
    </xdr:from>
    <xdr:to>
      <xdr:col>16</xdr:col>
      <xdr:colOff>608815</xdr:colOff>
      <xdr:row>114</xdr:row>
      <xdr:rowOff>137474</xdr:rowOff>
    </xdr:to>
    <xdr:sp macro="" textlink="">
      <xdr:nvSpPr>
        <xdr:cNvPr id="70" name="角丸四角形吹き出し 69"/>
        <xdr:cNvSpPr/>
      </xdr:nvSpPr>
      <xdr:spPr>
        <a:xfrm>
          <a:off x="9688792" y="18745593"/>
          <a:ext cx="1760848" cy="422242"/>
        </a:xfrm>
        <a:prstGeom prst="wedgeRoundRectCallout">
          <a:avLst>
            <a:gd name="adj1" fmla="val -73026"/>
            <a:gd name="adj2" fmla="val 2387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やはりこっちの</a:t>
          </a:r>
          <a:r>
            <a:rPr kumimoji="1" lang="en-US" altLang="ja-JP" sz="1100"/>
            <a:t>S/R</a:t>
          </a:r>
          <a:r>
            <a:rPr kumimoji="1" lang="ja-JP" altLang="en-US" sz="1100"/>
            <a:t>でリスク計算すべき？</a:t>
          </a:r>
        </a:p>
      </xdr:txBody>
    </xdr:sp>
    <xdr:clientData/>
  </xdr:twoCellAnchor>
  <xdr:twoCellAnchor>
    <xdr:from>
      <xdr:col>14</xdr:col>
      <xdr:colOff>257274</xdr:colOff>
      <xdr:row>116</xdr:row>
      <xdr:rowOff>24744</xdr:rowOff>
    </xdr:from>
    <xdr:to>
      <xdr:col>16</xdr:col>
      <xdr:colOff>663019</xdr:colOff>
      <xdr:row>120</xdr:row>
      <xdr:rowOff>137474</xdr:rowOff>
    </xdr:to>
    <xdr:sp macro="" textlink="">
      <xdr:nvSpPr>
        <xdr:cNvPr id="71" name="角丸四角形吹き出し 70"/>
        <xdr:cNvSpPr/>
      </xdr:nvSpPr>
      <xdr:spPr>
        <a:xfrm>
          <a:off x="9742996" y="19388971"/>
          <a:ext cx="1760848" cy="780462"/>
        </a:xfrm>
        <a:prstGeom prst="wedgeRoundRectCallout">
          <a:avLst>
            <a:gd name="adj1" fmla="val -23952"/>
            <a:gd name="adj2" fmla="val -8183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予想と違う動きをした時点で失敗なので、もっとリスク幅を狭めてリワード高めるべき？</a:t>
          </a:r>
        </a:p>
      </xdr:txBody>
    </xdr:sp>
    <xdr:clientData/>
  </xdr:twoCellAnchor>
  <xdr:twoCellAnchor>
    <xdr:from>
      <xdr:col>14</xdr:col>
      <xdr:colOff>262380</xdr:colOff>
      <xdr:row>122</xdr:row>
      <xdr:rowOff>59308</xdr:rowOff>
    </xdr:from>
    <xdr:to>
      <xdr:col>16</xdr:col>
      <xdr:colOff>668125</xdr:colOff>
      <xdr:row>126</xdr:row>
      <xdr:rowOff>19639</xdr:rowOff>
    </xdr:to>
    <xdr:sp macro="" textlink="">
      <xdr:nvSpPr>
        <xdr:cNvPr id="72" name="角丸四角形吹き出し 71"/>
        <xdr:cNvSpPr/>
      </xdr:nvSpPr>
      <xdr:spPr>
        <a:xfrm>
          <a:off x="9748102" y="20425133"/>
          <a:ext cx="1760848" cy="628063"/>
        </a:xfrm>
        <a:prstGeom prst="wedgeRoundRectCallout">
          <a:avLst>
            <a:gd name="adj1" fmla="val -23952"/>
            <a:gd name="adj2" fmla="val -94341"/>
            <a:gd name="adj3" fmla="val 16667"/>
          </a:avLst>
        </a:prstGeom>
        <a:solidFill>
          <a:srgbClr val="FFFF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検証を重ねてから、この方向で取り組むべき</a:t>
          </a:r>
        </a:p>
      </xdr:txBody>
    </xdr:sp>
    <xdr:clientData/>
  </xdr:twoCellAnchor>
  <xdr:twoCellAnchor editAs="oneCell">
    <xdr:from>
      <xdr:col>0</xdr:col>
      <xdr:colOff>0</xdr:colOff>
      <xdr:row>128</xdr:row>
      <xdr:rowOff>147293</xdr:rowOff>
    </xdr:from>
    <xdr:to>
      <xdr:col>18</xdr:col>
      <xdr:colOff>103007</xdr:colOff>
      <xdr:row>159</xdr:row>
      <xdr:rowOff>49098</xdr:rowOff>
    </xdr:to>
    <xdr:pic>
      <xdr:nvPicPr>
        <xdr:cNvPr id="35" name="Picture 1"/>
        <xdr:cNvPicPr>
          <a:picLocks noChangeAspect="1" noChangeArrowheads="1"/>
        </xdr:cNvPicPr>
      </xdr:nvPicPr>
      <xdr:blipFill>
        <a:blip xmlns:r="http://schemas.openxmlformats.org/officeDocument/2006/relationships" r:embed="rId5"/>
        <a:srcRect l="5650" t="16951" b="11802"/>
        <a:stretch>
          <a:fillRect/>
        </a:stretch>
      </xdr:blipFill>
      <xdr:spPr bwMode="auto">
        <a:xfrm>
          <a:off x="0" y="21514716"/>
          <a:ext cx="12298935" cy="5076727"/>
        </a:xfrm>
        <a:prstGeom prst="rect">
          <a:avLst/>
        </a:prstGeom>
        <a:noFill/>
        <a:ln w="1">
          <a:noFill/>
          <a:miter lim="800000"/>
          <a:headEnd/>
          <a:tailEnd type="none" w="med" len="med"/>
        </a:ln>
        <a:effectLst/>
      </xdr:spPr>
    </xdr:pic>
    <xdr:clientData/>
  </xdr:twoCellAnchor>
  <xdr:twoCellAnchor>
    <xdr:from>
      <xdr:col>0</xdr:col>
      <xdr:colOff>162613</xdr:colOff>
      <xdr:row>129</xdr:row>
      <xdr:rowOff>108802</xdr:rowOff>
    </xdr:from>
    <xdr:to>
      <xdr:col>1</xdr:col>
      <xdr:colOff>280052</xdr:colOff>
      <xdr:row>131</xdr:row>
      <xdr:rowOff>40065</xdr:rowOff>
    </xdr:to>
    <xdr:sp macro="" textlink="">
      <xdr:nvSpPr>
        <xdr:cNvPr id="73" name="テキスト ボックス 72"/>
        <xdr:cNvSpPr txBox="1"/>
      </xdr:nvSpPr>
      <xdr:spPr>
        <a:xfrm>
          <a:off x="162613" y="21643158"/>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No.102</a:t>
          </a:r>
          <a:endParaRPr kumimoji="1" lang="ja-JP" altLang="en-US" sz="1100"/>
        </a:p>
      </xdr:txBody>
    </xdr:sp>
    <xdr:clientData/>
  </xdr:twoCellAnchor>
  <xdr:twoCellAnchor>
    <xdr:from>
      <xdr:col>0</xdr:col>
      <xdr:colOff>157897</xdr:colOff>
      <xdr:row>131</xdr:row>
      <xdr:rowOff>133547</xdr:rowOff>
    </xdr:from>
    <xdr:to>
      <xdr:col>2</xdr:col>
      <xdr:colOff>668517</xdr:colOff>
      <xdr:row>137</xdr:row>
      <xdr:rowOff>117835</xdr:rowOff>
    </xdr:to>
    <xdr:sp macro="" textlink="">
      <xdr:nvSpPr>
        <xdr:cNvPr id="74" name="テキスト ボックス 73"/>
        <xdr:cNvSpPr txBox="1"/>
      </xdr:nvSpPr>
      <xdr:spPr>
        <a:xfrm>
          <a:off x="157897" y="22001769"/>
          <a:ext cx="1865723" cy="9858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週足で引いた</a:t>
          </a:r>
          <a:r>
            <a:rPr kumimoji="1" lang="en-US" altLang="ja-JP" sz="1100"/>
            <a:t>S/R</a:t>
          </a:r>
          <a:r>
            <a:rPr kumimoji="1" lang="ja-JP" altLang="en-US" sz="1100"/>
            <a:t>（弱め）に当たったところでヒゲだけ抜けた</a:t>
          </a:r>
          <a:r>
            <a:rPr kumimoji="1" lang="en-US" altLang="ja-JP" sz="1100"/>
            <a:t>W</a:t>
          </a:r>
          <a:r>
            <a:rPr kumimoji="1" lang="ja-JP" altLang="en-US" sz="1100"/>
            <a:t>トップ（</a:t>
          </a:r>
          <a:r>
            <a:rPr kumimoji="1" lang="en-US" altLang="ja-JP" sz="1100"/>
            <a:t>T</a:t>
          </a:r>
          <a:r>
            <a:rPr kumimoji="1" lang="ja-JP" altLang="en-US" sz="1100"/>
            <a:t>トップ）を形成したと見て、売りタイミングを探った</a:t>
          </a:r>
        </a:p>
      </xdr:txBody>
    </xdr:sp>
    <xdr:clientData/>
  </xdr:twoCellAnchor>
  <xdr:twoCellAnchor>
    <xdr:from>
      <xdr:col>8</xdr:col>
      <xdr:colOff>625313</xdr:colOff>
      <xdr:row>137</xdr:row>
      <xdr:rowOff>122941</xdr:rowOff>
    </xdr:from>
    <xdr:to>
      <xdr:col>10</xdr:col>
      <xdr:colOff>545184</xdr:colOff>
      <xdr:row>140</xdr:row>
      <xdr:rowOff>88376</xdr:rowOff>
    </xdr:to>
    <xdr:sp macro="" textlink="">
      <xdr:nvSpPr>
        <xdr:cNvPr id="75" name="角丸四角形吹き出し 74"/>
        <xdr:cNvSpPr/>
      </xdr:nvSpPr>
      <xdr:spPr>
        <a:xfrm>
          <a:off x="6045725" y="22992761"/>
          <a:ext cx="1274974" cy="466234"/>
        </a:xfrm>
        <a:prstGeom prst="wedgeRoundRectCallout">
          <a:avLst>
            <a:gd name="adj1" fmla="val 51930"/>
            <a:gd name="adj2" fmla="val -13661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直近安値下抜きで</a:t>
          </a:r>
          <a:r>
            <a:rPr kumimoji="1" lang="en-US" altLang="ja-JP" sz="1100"/>
            <a:t>IN</a:t>
          </a:r>
          <a:endParaRPr kumimoji="1" lang="ja-JP" altLang="en-US" sz="1100"/>
        </a:p>
      </xdr:txBody>
    </xdr:sp>
    <xdr:clientData/>
  </xdr:twoCellAnchor>
  <xdr:twoCellAnchor>
    <xdr:from>
      <xdr:col>9</xdr:col>
      <xdr:colOff>531435</xdr:colOff>
      <xdr:row>135</xdr:row>
      <xdr:rowOff>29851</xdr:rowOff>
    </xdr:from>
    <xdr:to>
      <xdr:col>12</xdr:col>
      <xdr:colOff>412815</xdr:colOff>
      <xdr:row>135</xdr:row>
      <xdr:rowOff>30637</xdr:rowOff>
    </xdr:to>
    <xdr:cxnSp macro="">
      <xdr:nvCxnSpPr>
        <xdr:cNvPr id="76" name="直線コネクタ 75"/>
        <xdr:cNvCxnSpPr/>
      </xdr:nvCxnSpPr>
      <xdr:spPr>
        <a:xfrm flipV="1">
          <a:off x="6629399" y="22565805"/>
          <a:ext cx="1914035" cy="786"/>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608814</xdr:colOff>
      <xdr:row>128</xdr:row>
      <xdr:rowOff>98586</xdr:rowOff>
    </xdr:from>
    <xdr:to>
      <xdr:col>9</xdr:col>
      <xdr:colOff>226243</xdr:colOff>
      <xdr:row>131</xdr:row>
      <xdr:rowOff>58916</xdr:rowOff>
    </xdr:to>
    <xdr:sp macro="" textlink="">
      <xdr:nvSpPr>
        <xdr:cNvPr id="77" name="角丸四角形吹き出し 76"/>
        <xdr:cNvSpPr/>
      </xdr:nvSpPr>
      <xdr:spPr>
        <a:xfrm>
          <a:off x="4674123" y="21466009"/>
          <a:ext cx="1650084" cy="461129"/>
        </a:xfrm>
        <a:prstGeom prst="wedgeRoundRectCallout">
          <a:avLst>
            <a:gd name="adj1" fmla="val 84069"/>
            <a:gd name="adj2" fmla="val 5327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ヒゲだけ抜けて戻ったので、下落すると予想</a:t>
          </a:r>
        </a:p>
      </xdr:txBody>
    </xdr:sp>
    <xdr:clientData/>
  </xdr:twoCellAnchor>
  <xdr:twoCellAnchor>
    <xdr:from>
      <xdr:col>10</xdr:col>
      <xdr:colOff>591139</xdr:colOff>
      <xdr:row>140</xdr:row>
      <xdr:rowOff>29853</xdr:rowOff>
    </xdr:from>
    <xdr:to>
      <xdr:col>12</xdr:col>
      <xdr:colOff>677550</xdr:colOff>
      <xdr:row>143</xdr:row>
      <xdr:rowOff>68738</xdr:rowOff>
    </xdr:to>
    <xdr:sp macro="" textlink="">
      <xdr:nvSpPr>
        <xdr:cNvPr id="78" name="角丸四角形吹き出し 77"/>
        <xdr:cNvSpPr/>
      </xdr:nvSpPr>
      <xdr:spPr>
        <a:xfrm>
          <a:off x="7366654" y="23400472"/>
          <a:ext cx="1441515" cy="539684"/>
        </a:xfrm>
        <a:prstGeom prst="wedgeRoundRectCallout">
          <a:avLst>
            <a:gd name="adj1" fmla="val -42802"/>
            <a:gd name="adj2" fmla="val -15911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5</a:t>
          </a:r>
          <a:r>
            <a:rPr kumimoji="1" lang="ja-JP" altLang="en-US" sz="1100"/>
            <a:t>分スパンの急落→急上昇で建値撤退</a:t>
          </a:r>
        </a:p>
      </xdr:txBody>
    </xdr:sp>
    <xdr:clientData/>
  </xdr:twoCellAnchor>
  <xdr:twoCellAnchor editAs="oneCell">
    <xdr:from>
      <xdr:col>0</xdr:col>
      <xdr:colOff>0</xdr:colOff>
      <xdr:row>160</xdr:row>
      <xdr:rowOff>157114</xdr:rowOff>
    </xdr:from>
    <xdr:to>
      <xdr:col>18</xdr:col>
      <xdr:colOff>142285</xdr:colOff>
      <xdr:row>191</xdr:row>
      <xdr:rowOff>88376</xdr:rowOff>
    </xdr:to>
    <xdr:pic>
      <xdr:nvPicPr>
        <xdr:cNvPr id="11266" name="Picture 2"/>
        <xdr:cNvPicPr>
          <a:picLocks noChangeAspect="1" noChangeArrowheads="1"/>
        </xdr:cNvPicPr>
      </xdr:nvPicPr>
      <xdr:blipFill>
        <a:blip xmlns:r="http://schemas.openxmlformats.org/officeDocument/2006/relationships" r:embed="rId6"/>
        <a:srcRect l="5348" t="16675" b="11664"/>
        <a:stretch>
          <a:fillRect/>
        </a:stretch>
      </xdr:blipFill>
      <xdr:spPr bwMode="auto">
        <a:xfrm>
          <a:off x="0" y="26866392"/>
          <a:ext cx="12338213" cy="5106185"/>
        </a:xfrm>
        <a:prstGeom prst="rect">
          <a:avLst/>
        </a:prstGeom>
        <a:noFill/>
        <a:ln w="1">
          <a:noFill/>
          <a:miter lim="800000"/>
          <a:headEnd/>
          <a:tailEnd type="none" w="med" len="med"/>
        </a:ln>
        <a:effectLst/>
      </xdr:spPr>
    </xdr:pic>
    <xdr:clientData/>
  </xdr:twoCellAnchor>
  <xdr:twoCellAnchor>
    <xdr:from>
      <xdr:col>0</xdr:col>
      <xdr:colOff>226637</xdr:colOff>
      <xdr:row>161</xdr:row>
      <xdr:rowOff>163007</xdr:rowOff>
    </xdr:from>
    <xdr:to>
      <xdr:col>1</xdr:col>
      <xdr:colOff>344076</xdr:colOff>
      <xdr:row>163</xdr:row>
      <xdr:rowOff>94270</xdr:rowOff>
    </xdr:to>
    <xdr:sp macro="" textlink="">
      <xdr:nvSpPr>
        <xdr:cNvPr id="79" name="テキスト ボックス 78"/>
        <xdr:cNvSpPr txBox="1"/>
      </xdr:nvSpPr>
      <xdr:spPr>
        <a:xfrm>
          <a:off x="226637" y="27039218"/>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No.103</a:t>
          </a:r>
          <a:endParaRPr kumimoji="1" lang="ja-JP" altLang="en-US" sz="1100"/>
        </a:p>
      </xdr:txBody>
    </xdr:sp>
    <xdr:clientData/>
  </xdr:twoCellAnchor>
  <xdr:twoCellAnchor>
    <xdr:from>
      <xdr:col>0</xdr:col>
      <xdr:colOff>221921</xdr:colOff>
      <xdr:row>164</xdr:row>
      <xdr:rowOff>20819</xdr:rowOff>
    </xdr:from>
    <xdr:to>
      <xdr:col>3</xdr:col>
      <xdr:colOff>54989</xdr:colOff>
      <xdr:row>170</xdr:row>
      <xdr:rowOff>5107</xdr:rowOff>
    </xdr:to>
    <xdr:sp macro="" textlink="">
      <xdr:nvSpPr>
        <xdr:cNvPr id="80" name="テキスト ボックス 79"/>
        <xdr:cNvSpPr txBox="1"/>
      </xdr:nvSpPr>
      <xdr:spPr>
        <a:xfrm>
          <a:off x="221921" y="27397829"/>
          <a:ext cx="1865723" cy="9858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金曜の動画で、買いで紹介されていた相場で</a:t>
          </a:r>
          <a:r>
            <a:rPr kumimoji="1" lang="en-US" altLang="ja-JP" sz="1100">
              <a:solidFill>
                <a:schemeClr val="dk1"/>
              </a:solidFill>
              <a:latin typeface="+mn-lt"/>
              <a:ea typeface="+mn-ea"/>
              <a:cs typeface="+mn-cs"/>
            </a:rPr>
            <a:t>T/L</a:t>
          </a:r>
          <a:r>
            <a:rPr kumimoji="1" lang="ja-JP" altLang="en-US" sz="1100">
              <a:solidFill>
                <a:schemeClr val="dk1"/>
              </a:solidFill>
              <a:latin typeface="+mn-lt"/>
              <a:ea typeface="+mn-ea"/>
              <a:cs typeface="+mn-cs"/>
            </a:rPr>
            <a:t>を抜ければ上昇継続のチャートパターンに見えたので</a:t>
          </a:r>
          <a:r>
            <a:rPr kumimoji="1" lang="en-US" sz="1100">
              <a:solidFill>
                <a:schemeClr val="dk1"/>
              </a:solidFill>
              <a:latin typeface="+mn-lt"/>
              <a:ea typeface="+mn-ea"/>
              <a:cs typeface="+mn-cs"/>
            </a:rPr>
            <a:t>IN</a:t>
          </a:r>
          <a:r>
            <a:rPr kumimoji="1" lang="ja-JP" altLang="en-US" sz="1100">
              <a:solidFill>
                <a:schemeClr val="dk1"/>
              </a:solidFill>
              <a:latin typeface="+mn-lt"/>
              <a:ea typeface="+mn-ea"/>
              <a:cs typeface="+mn-cs"/>
            </a:rPr>
            <a:t>タイミングを探った</a:t>
          </a:r>
          <a:endParaRPr lang="ja-JP"/>
        </a:p>
        <a:p>
          <a:endParaRPr kumimoji="1" lang="ja-JP" altLang="en-US" sz="1100"/>
        </a:p>
      </xdr:txBody>
    </xdr:sp>
    <xdr:clientData/>
  </xdr:twoCellAnchor>
  <xdr:twoCellAnchor>
    <xdr:from>
      <xdr:col>0</xdr:col>
      <xdr:colOff>237635</xdr:colOff>
      <xdr:row>171</xdr:row>
      <xdr:rowOff>78949</xdr:rowOff>
    </xdr:from>
    <xdr:to>
      <xdr:col>3</xdr:col>
      <xdr:colOff>176752</xdr:colOff>
      <xdr:row>176</xdr:row>
      <xdr:rowOff>9820</xdr:rowOff>
    </xdr:to>
    <xdr:sp macro="" textlink="">
      <xdr:nvSpPr>
        <xdr:cNvPr id="81" name="角丸四角形吹き出し 80"/>
        <xdr:cNvSpPr/>
      </xdr:nvSpPr>
      <xdr:spPr>
        <a:xfrm>
          <a:off x="237635" y="28624490"/>
          <a:ext cx="1971772" cy="765536"/>
        </a:xfrm>
        <a:prstGeom prst="wedgeRoundRectCallout">
          <a:avLst>
            <a:gd name="adj1" fmla="val -23299"/>
            <a:gd name="adj2" fmla="val -8392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指値を置いた後少し相場から離れた間にチャートパターンが崩れていた</a:t>
          </a:r>
          <a:r>
            <a:rPr kumimoji="1" lang="en-US" altLang="ja-JP" sz="1100"/>
            <a:t>×</a:t>
          </a:r>
          <a:endParaRPr kumimoji="1" lang="ja-JP" altLang="en-US" sz="1100"/>
        </a:p>
      </xdr:txBody>
    </xdr:sp>
    <xdr:clientData/>
  </xdr:twoCellAnchor>
  <xdr:twoCellAnchor>
    <xdr:from>
      <xdr:col>9</xdr:col>
      <xdr:colOff>566000</xdr:colOff>
      <xdr:row>168</xdr:row>
      <xdr:rowOff>133941</xdr:rowOff>
    </xdr:from>
    <xdr:to>
      <xdr:col>16</xdr:col>
      <xdr:colOff>117835</xdr:colOff>
      <xdr:row>168</xdr:row>
      <xdr:rowOff>137474</xdr:rowOff>
    </xdr:to>
    <xdr:cxnSp macro="">
      <xdr:nvCxnSpPr>
        <xdr:cNvPr id="82" name="直線コネクタ 81"/>
        <xdr:cNvCxnSpPr/>
      </xdr:nvCxnSpPr>
      <xdr:spPr>
        <a:xfrm>
          <a:off x="6663964" y="28178683"/>
          <a:ext cx="4294696" cy="3533"/>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65988</xdr:colOff>
      <xdr:row>175</xdr:row>
      <xdr:rowOff>84055</xdr:rowOff>
    </xdr:from>
    <xdr:to>
      <xdr:col>14</xdr:col>
      <xdr:colOff>78556</xdr:colOff>
      <xdr:row>178</xdr:row>
      <xdr:rowOff>58918</xdr:rowOff>
    </xdr:to>
    <xdr:sp macro="" textlink="">
      <xdr:nvSpPr>
        <xdr:cNvPr id="83" name="角丸四角形吹き出し 82"/>
        <xdr:cNvSpPr/>
      </xdr:nvSpPr>
      <xdr:spPr>
        <a:xfrm>
          <a:off x="8196607" y="29297328"/>
          <a:ext cx="1367671" cy="475662"/>
        </a:xfrm>
        <a:prstGeom prst="wedgeRoundRectCallout">
          <a:avLst>
            <a:gd name="adj1" fmla="val 43883"/>
            <a:gd name="adj2" fmla="val -11020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この下落でプラン変更が必要だった</a:t>
          </a:r>
        </a:p>
      </xdr:txBody>
    </xdr:sp>
    <xdr:clientData/>
  </xdr:twoCellAnchor>
  <xdr:twoCellAnchor>
    <xdr:from>
      <xdr:col>12</xdr:col>
      <xdr:colOff>186573</xdr:colOff>
      <xdr:row>162</xdr:row>
      <xdr:rowOff>88376</xdr:rowOff>
    </xdr:from>
    <xdr:to>
      <xdr:col>13</xdr:col>
      <xdr:colOff>569536</xdr:colOff>
      <xdr:row>164</xdr:row>
      <xdr:rowOff>162220</xdr:rowOff>
    </xdr:to>
    <xdr:sp macro="" textlink="">
      <xdr:nvSpPr>
        <xdr:cNvPr id="95" name="角丸四角形吹き出し 94"/>
        <xdr:cNvSpPr/>
      </xdr:nvSpPr>
      <xdr:spPr>
        <a:xfrm>
          <a:off x="8317192" y="27131520"/>
          <a:ext cx="1060514" cy="407710"/>
        </a:xfrm>
        <a:prstGeom prst="wedgeRoundRectCallout">
          <a:avLst>
            <a:gd name="adj1" fmla="val -23607"/>
            <a:gd name="adj2" fmla="val 11481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この辺りで</a:t>
          </a:r>
          <a:endParaRPr kumimoji="1" lang="en-US" altLang="ja-JP" sz="1100"/>
        </a:p>
        <a:p>
          <a:pPr algn="ctr"/>
          <a:r>
            <a:rPr kumimoji="1" lang="ja-JP" altLang="en-US" sz="1100"/>
            <a:t>プラン設定</a:t>
          </a:r>
        </a:p>
      </xdr:txBody>
    </xdr:sp>
    <xdr:clientData/>
  </xdr:twoCellAnchor>
  <xdr:twoCellAnchor>
    <xdr:from>
      <xdr:col>14</xdr:col>
      <xdr:colOff>260417</xdr:colOff>
      <xdr:row>162</xdr:row>
      <xdr:rowOff>44383</xdr:rowOff>
    </xdr:from>
    <xdr:to>
      <xdr:col>15</xdr:col>
      <xdr:colOff>643380</xdr:colOff>
      <xdr:row>164</xdr:row>
      <xdr:rowOff>118227</xdr:rowOff>
    </xdr:to>
    <xdr:sp macro="" textlink="">
      <xdr:nvSpPr>
        <xdr:cNvPr id="97" name="角丸四角形吹き出し 96"/>
        <xdr:cNvSpPr/>
      </xdr:nvSpPr>
      <xdr:spPr>
        <a:xfrm>
          <a:off x="9746139" y="27087527"/>
          <a:ext cx="1060514" cy="407710"/>
        </a:xfrm>
        <a:prstGeom prst="wedgeRoundRectCallout">
          <a:avLst>
            <a:gd name="adj1" fmla="val -5088"/>
            <a:gd name="adj2" fmla="val 12204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endParaRPr kumimoji="1" lang="ja-JP" altLang="en-US" sz="1100"/>
        </a:p>
      </xdr:txBody>
    </xdr:sp>
    <xdr:clientData/>
  </xdr:twoCellAnchor>
  <xdr:twoCellAnchor>
    <xdr:from>
      <xdr:col>15</xdr:col>
      <xdr:colOff>471735</xdr:colOff>
      <xdr:row>165</xdr:row>
      <xdr:rowOff>78947</xdr:rowOff>
    </xdr:from>
    <xdr:to>
      <xdr:col>17</xdr:col>
      <xdr:colOff>177146</xdr:colOff>
      <xdr:row>167</xdr:row>
      <xdr:rowOff>152791</xdr:rowOff>
    </xdr:to>
    <xdr:sp macro="" textlink="">
      <xdr:nvSpPr>
        <xdr:cNvPr id="98" name="角丸四角形吹き出し 97"/>
        <xdr:cNvSpPr/>
      </xdr:nvSpPr>
      <xdr:spPr>
        <a:xfrm>
          <a:off x="10635008" y="27622890"/>
          <a:ext cx="1060514" cy="407710"/>
        </a:xfrm>
        <a:prstGeom prst="wedgeRoundRectCallout">
          <a:avLst>
            <a:gd name="adj1" fmla="val -53236"/>
            <a:gd name="adj2" fmla="val 762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editAs="oneCell">
    <xdr:from>
      <xdr:col>0</xdr:col>
      <xdr:colOff>0</xdr:colOff>
      <xdr:row>193</xdr:row>
      <xdr:rowOff>58919</xdr:rowOff>
    </xdr:from>
    <xdr:to>
      <xdr:col>18</xdr:col>
      <xdr:colOff>161924</xdr:colOff>
      <xdr:row>224</xdr:row>
      <xdr:rowOff>2</xdr:rowOff>
    </xdr:to>
    <xdr:pic>
      <xdr:nvPicPr>
        <xdr:cNvPr id="11267" name="Picture 3"/>
        <xdr:cNvPicPr>
          <a:picLocks noChangeAspect="1" noChangeArrowheads="1"/>
        </xdr:cNvPicPr>
      </xdr:nvPicPr>
      <xdr:blipFill>
        <a:blip xmlns:r="http://schemas.openxmlformats.org/officeDocument/2006/relationships" r:embed="rId7"/>
        <a:srcRect l="5198" t="16261" b="11940"/>
        <a:stretch>
          <a:fillRect/>
        </a:stretch>
      </xdr:blipFill>
      <xdr:spPr bwMode="auto">
        <a:xfrm>
          <a:off x="0" y="32276986"/>
          <a:ext cx="12357852" cy="5116006"/>
        </a:xfrm>
        <a:prstGeom prst="rect">
          <a:avLst/>
        </a:prstGeom>
        <a:noFill/>
        <a:ln w="1">
          <a:noFill/>
          <a:miter lim="800000"/>
          <a:headEnd/>
          <a:tailEnd type="none" w="med" len="med"/>
        </a:ln>
        <a:effectLst/>
      </xdr:spPr>
    </xdr:pic>
    <xdr:clientData/>
  </xdr:twoCellAnchor>
  <xdr:twoCellAnchor>
    <xdr:from>
      <xdr:col>0</xdr:col>
      <xdr:colOff>153186</xdr:colOff>
      <xdr:row>194</xdr:row>
      <xdr:rowOff>30638</xdr:rowOff>
    </xdr:from>
    <xdr:to>
      <xdr:col>1</xdr:col>
      <xdr:colOff>270625</xdr:colOff>
      <xdr:row>195</xdr:row>
      <xdr:rowOff>128834</xdr:rowOff>
    </xdr:to>
    <xdr:sp macro="" textlink="">
      <xdr:nvSpPr>
        <xdr:cNvPr id="99" name="テキスト ボックス 98"/>
        <xdr:cNvSpPr txBox="1"/>
      </xdr:nvSpPr>
      <xdr:spPr>
        <a:xfrm>
          <a:off x="153186" y="32415638"/>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No.104</a:t>
          </a:r>
          <a:endParaRPr kumimoji="1" lang="ja-JP" altLang="en-US" sz="1100"/>
        </a:p>
      </xdr:txBody>
    </xdr:sp>
    <xdr:clientData/>
  </xdr:twoCellAnchor>
  <xdr:twoCellAnchor>
    <xdr:from>
      <xdr:col>0</xdr:col>
      <xdr:colOff>148470</xdr:colOff>
      <xdr:row>196</xdr:row>
      <xdr:rowOff>55383</xdr:rowOff>
    </xdr:from>
    <xdr:to>
      <xdr:col>2</xdr:col>
      <xdr:colOff>659090</xdr:colOff>
      <xdr:row>201</xdr:row>
      <xdr:rowOff>68737</xdr:rowOff>
    </xdr:to>
    <xdr:sp macro="" textlink="">
      <xdr:nvSpPr>
        <xdr:cNvPr id="100" name="テキスト ボックス 99"/>
        <xdr:cNvSpPr txBox="1"/>
      </xdr:nvSpPr>
      <xdr:spPr>
        <a:xfrm>
          <a:off x="148470" y="32774249"/>
          <a:ext cx="1865723" cy="8480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金曜の動画で、買いで紹介されていた相場で</a:t>
          </a:r>
          <a:r>
            <a:rPr kumimoji="1" lang="en-US" altLang="ja-JP" sz="1100">
              <a:solidFill>
                <a:schemeClr val="dk1"/>
              </a:solidFill>
              <a:latin typeface="+mn-lt"/>
              <a:ea typeface="+mn-ea"/>
              <a:cs typeface="+mn-cs"/>
            </a:rPr>
            <a:t>S/R</a:t>
          </a:r>
          <a:r>
            <a:rPr kumimoji="1" lang="ja-JP" altLang="en-US" sz="1100">
              <a:solidFill>
                <a:schemeClr val="dk1"/>
              </a:solidFill>
              <a:latin typeface="+mn-lt"/>
              <a:ea typeface="+mn-ea"/>
              <a:cs typeface="+mn-cs"/>
            </a:rPr>
            <a:t>を上抜けた後の</a:t>
          </a:r>
          <a:r>
            <a:rPr kumimoji="1" lang="en-US" altLang="ja-JP" sz="1100">
              <a:solidFill>
                <a:schemeClr val="dk1"/>
              </a:solidFill>
              <a:latin typeface="+mn-lt"/>
              <a:ea typeface="+mn-ea"/>
              <a:cs typeface="+mn-cs"/>
            </a:rPr>
            <a:t>FS</a:t>
          </a:r>
          <a:r>
            <a:rPr kumimoji="1" lang="ja-JP" altLang="en-US" sz="1100">
              <a:solidFill>
                <a:schemeClr val="dk1"/>
              </a:solidFill>
              <a:latin typeface="+mn-lt"/>
              <a:ea typeface="+mn-ea"/>
              <a:cs typeface="+mn-cs"/>
            </a:rPr>
            <a:t>と認識。再び</a:t>
          </a:r>
          <a:r>
            <a:rPr kumimoji="1" lang="en-US" altLang="ja-JP" sz="1100">
              <a:solidFill>
                <a:schemeClr val="dk1"/>
              </a:solidFill>
              <a:latin typeface="+mn-lt"/>
              <a:ea typeface="+mn-ea"/>
              <a:cs typeface="+mn-cs"/>
            </a:rPr>
            <a:t>S/R</a:t>
          </a:r>
          <a:r>
            <a:rPr kumimoji="1" lang="ja-JP" altLang="en-US" sz="1100">
              <a:solidFill>
                <a:schemeClr val="dk1"/>
              </a:solidFill>
              <a:latin typeface="+mn-lt"/>
              <a:ea typeface="+mn-ea"/>
              <a:cs typeface="+mn-cs"/>
            </a:rPr>
            <a:t>を抜ければ上がると読んだ</a:t>
          </a:r>
          <a:endParaRPr kumimoji="1" lang="ja-JP" altLang="en-US" sz="1100"/>
        </a:p>
      </xdr:txBody>
    </xdr:sp>
    <xdr:clientData/>
  </xdr:twoCellAnchor>
  <xdr:twoCellAnchor>
    <xdr:from>
      <xdr:col>2</xdr:col>
      <xdr:colOff>404173</xdr:colOff>
      <xdr:row>202</xdr:row>
      <xdr:rowOff>9820</xdr:rowOff>
    </xdr:from>
    <xdr:to>
      <xdr:col>15</xdr:col>
      <xdr:colOff>137474</xdr:colOff>
      <xdr:row>202</xdr:row>
      <xdr:rowOff>11391</xdr:rowOff>
    </xdr:to>
    <xdr:cxnSp macro="">
      <xdr:nvCxnSpPr>
        <xdr:cNvPr id="101" name="直線コネクタ 100"/>
        <xdr:cNvCxnSpPr/>
      </xdr:nvCxnSpPr>
      <xdr:spPr>
        <a:xfrm flipV="1">
          <a:off x="1759276" y="33730284"/>
          <a:ext cx="8541471" cy="1571"/>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407709</xdr:colOff>
      <xdr:row>193</xdr:row>
      <xdr:rowOff>142578</xdr:rowOff>
    </xdr:from>
    <xdr:to>
      <xdr:col>14</xdr:col>
      <xdr:colOff>113120</xdr:colOff>
      <xdr:row>196</xdr:row>
      <xdr:rowOff>49489</xdr:rowOff>
    </xdr:to>
    <xdr:sp macro="" textlink="">
      <xdr:nvSpPr>
        <xdr:cNvPr id="102" name="角丸四角形吹き出し 101"/>
        <xdr:cNvSpPr/>
      </xdr:nvSpPr>
      <xdr:spPr>
        <a:xfrm>
          <a:off x="8538328" y="32360645"/>
          <a:ext cx="1060514" cy="407710"/>
        </a:xfrm>
        <a:prstGeom prst="wedgeRoundRectCallout">
          <a:avLst>
            <a:gd name="adj1" fmla="val -23607"/>
            <a:gd name="adj2" fmla="val 11481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endParaRPr kumimoji="1" lang="ja-JP" altLang="en-US" sz="1100"/>
        </a:p>
      </xdr:txBody>
    </xdr:sp>
    <xdr:clientData/>
  </xdr:twoCellAnchor>
  <xdr:twoCellAnchor>
    <xdr:from>
      <xdr:col>14</xdr:col>
      <xdr:colOff>49490</xdr:colOff>
      <xdr:row>202</xdr:row>
      <xdr:rowOff>108405</xdr:rowOff>
    </xdr:from>
    <xdr:to>
      <xdr:col>15</xdr:col>
      <xdr:colOff>432453</xdr:colOff>
      <xdr:row>205</xdr:row>
      <xdr:rowOff>15316</xdr:rowOff>
    </xdr:to>
    <xdr:sp macro="" textlink="">
      <xdr:nvSpPr>
        <xdr:cNvPr id="104" name="角丸四角形吹き出し 103"/>
        <xdr:cNvSpPr/>
      </xdr:nvSpPr>
      <xdr:spPr>
        <a:xfrm>
          <a:off x="9535212" y="33828869"/>
          <a:ext cx="1060514" cy="407710"/>
        </a:xfrm>
        <a:prstGeom prst="wedgeRoundRectCallout">
          <a:avLst>
            <a:gd name="adj1" fmla="val -63422"/>
            <a:gd name="adj2" fmla="val -6581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editAs="oneCell">
    <xdr:from>
      <xdr:col>0</xdr:col>
      <xdr:colOff>0</xdr:colOff>
      <xdr:row>226</xdr:row>
      <xdr:rowOff>0</xdr:rowOff>
    </xdr:from>
    <xdr:to>
      <xdr:col>18</xdr:col>
      <xdr:colOff>152105</xdr:colOff>
      <xdr:row>261</xdr:row>
      <xdr:rowOff>114300</xdr:rowOff>
    </xdr:to>
    <xdr:pic>
      <xdr:nvPicPr>
        <xdr:cNvPr id="36" name="Picture 1"/>
        <xdr:cNvPicPr>
          <a:picLocks noChangeAspect="1" noChangeArrowheads="1"/>
        </xdr:cNvPicPr>
      </xdr:nvPicPr>
      <xdr:blipFill>
        <a:blip xmlns:r="http://schemas.openxmlformats.org/officeDocument/2006/relationships" r:embed="rId8"/>
        <a:srcRect l="5273" t="16399"/>
        <a:stretch>
          <a:fillRect/>
        </a:stretch>
      </xdr:blipFill>
      <xdr:spPr bwMode="auto">
        <a:xfrm>
          <a:off x="0" y="37726856"/>
          <a:ext cx="12348033" cy="5956954"/>
        </a:xfrm>
        <a:prstGeom prst="rect">
          <a:avLst/>
        </a:prstGeom>
        <a:noFill/>
        <a:ln w="1">
          <a:noFill/>
          <a:miter lim="800000"/>
          <a:headEnd/>
          <a:tailEnd type="none" w="med" len="med"/>
        </a:ln>
        <a:effectLst/>
      </xdr:spPr>
    </xdr:pic>
    <xdr:clientData/>
  </xdr:twoCellAnchor>
  <xdr:twoCellAnchor>
    <xdr:from>
      <xdr:col>0</xdr:col>
      <xdr:colOff>207390</xdr:colOff>
      <xdr:row>227</xdr:row>
      <xdr:rowOff>25924</xdr:rowOff>
    </xdr:from>
    <xdr:to>
      <xdr:col>1</xdr:col>
      <xdr:colOff>324829</xdr:colOff>
      <xdr:row>228</xdr:row>
      <xdr:rowOff>124120</xdr:rowOff>
    </xdr:to>
    <xdr:sp macro="" textlink="">
      <xdr:nvSpPr>
        <xdr:cNvPr id="91" name="テキスト ボックス 90"/>
        <xdr:cNvSpPr txBox="1"/>
      </xdr:nvSpPr>
      <xdr:spPr>
        <a:xfrm>
          <a:off x="207390" y="37919713"/>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No.105</a:t>
          </a:r>
          <a:endParaRPr kumimoji="1" lang="ja-JP" altLang="en-US" sz="1100"/>
        </a:p>
      </xdr:txBody>
    </xdr:sp>
    <xdr:clientData/>
  </xdr:twoCellAnchor>
  <xdr:twoCellAnchor>
    <xdr:from>
      <xdr:col>0</xdr:col>
      <xdr:colOff>202674</xdr:colOff>
      <xdr:row>229</xdr:row>
      <xdr:rowOff>50669</xdr:rowOff>
    </xdr:from>
    <xdr:to>
      <xdr:col>3</xdr:col>
      <xdr:colOff>35742</xdr:colOff>
      <xdr:row>235</xdr:row>
      <xdr:rowOff>58917</xdr:rowOff>
    </xdr:to>
    <xdr:sp macro="" textlink="">
      <xdr:nvSpPr>
        <xdr:cNvPr id="92" name="テキスト ボックス 91"/>
        <xdr:cNvSpPr txBox="1"/>
      </xdr:nvSpPr>
      <xdr:spPr>
        <a:xfrm>
          <a:off x="202674" y="38278324"/>
          <a:ext cx="1865723" cy="1009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t>トレンド継続のチャートパターン→</a:t>
          </a:r>
          <a:r>
            <a:rPr kumimoji="1" lang="en-US" altLang="ja-JP" sz="1100"/>
            <a:t>T/L</a:t>
          </a:r>
          <a:r>
            <a:rPr kumimoji="1" lang="ja-JP" altLang="en-US" sz="1100"/>
            <a:t>上抜いたと見て</a:t>
          </a:r>
          <a:r>
            <a:rPr kumimoji="1" lang="en-US" altLang="ja-JP" sz="1100"/>
            <a:t>IN</a:t>
          </a:r>
          <a:r>
            <a:rPr kumimoji="1" lang="ja-JP" altLang="en-US" sz="1100"/>
            <a:t>タイミングを探った</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t>→寝る前だったので乗り遅れる焦りがあった</a:t>
          </a:r>
        </a:p>
      </xdr:txBody>
    </xdr:sp>
    <xdr:clientData/>
  </xdr:twoCellAnchor>
  <xdr:twoCellAnchor>
    <xdr:from>
      <xdr:col>12</xdr:col>
      <xdr:colOff>133152</xdr:colOff>
      <xdr:row>229</xdr:row>
      <xdr:rowOff>166932</xdr:rowOff>
    </xdr:from>
    <xdr:to>
      <xdr:col>14</xdr:col>
      <xdr:colOff>402603</xdr:colOff>
      <xdr:row>235</xdr:row>
      <xdr:rowOff>49880</xdr:rowOff>
    </xdr:to>
    <xdr:sp macro="" textlink="">
      <xdr:nvSpPr>
        <xdr:cNvPr id="94" name="角丸四角形吹き出し 93"/>
        <xdr:cNvSpPr/>
      </xdr:nvSpPr>
      <xdr:spPr>
        <a:xfrm>
          <a:off x="8263771" y="38394587"/>
          <a:ext cx="1624554" cy="884546"/>
        </a:xfrm>
        <a:prstGeom prst="wedgeRoundRectCallout">
          <a:avLst>
            <a:gd name="adj1" fmla="val -8177"/>
            <a:gd name="adj2" fmla="val 11369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T/L</a:t>
          </a:r>
          <a:r>
            <a:rPr kumimoji="1" lang="ja-JP" altLang="en-US" sz="1100"/>
            <a:t>を抜けたとみて５分足で</a:t>
          </a:r>
          <a:r>
            <a:rPr kumimoji="1" lang="en-US" altLang="ja-JP" sz="1100"/>
            <a:t>FS</a:t>
          </a:r>
          <a:r>
            <a:rPr kumimoji="1" lang="ja-JP" altLang="en-US" sz="1100"/>
            <a:t>を確認、直近高値上抜きで</a:t>
          </a:r>
          <a:r>
            <a:rPr kumimoji="1" lang="en-US" altLang="ja-JP" sz="1100"/>
            <a:t>IN</a:t>
          </a:r>
          <a:endParaRPr kumimoji="1" lang="ja-JP" altLang="en-US" sz="1100"/>
        </a:p>
      </xdr:txBody>
    </xdr:sp>
    <xdr:clientData/>
  </xdr:twoCellAnchor>
  <xdr:twoCellAnchor>
    <xdr:from>
      <xdr:col>13</xdr:col>
      <xdr:colOff>609599</xdr:colOff>
      <xdr:row>239</xdr:row>
      <xdr:rowOff>147294</xdr:rowOff>
    </xdr:from>
    <xdr:to>
      <xdr:col>15</xdr:col>
      <xdr:colOff>147294</xdr:colOff>
      <xdr:row>242</xdr:row>
      <xdr:rowOff>15708</xdr:rowOff>
    </xdr:to>
    <xdr:sp macro="" textlink="">
      <xdr:nvSpPr>
        <xdr:cNvPr id="96" name="角丸四角形吹き出し 95"/>
        <xdr:cNvSpPr/>
      </xdr:nvSpPr>
      <xdr:spPr>
        <a:xfrm>
          <a:off x="9417769" y="40044279"/>
          <a:ext cx="892798" cy="369213"/>
        </a:xfrm>
        <a:prstGeom prst="wedgeRoundRectCallout">
          <a:avLst>
            <a:gd name="adj1" fmla="val -72853"/>
            <a:gd name="adj2" fmla="val 1488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戻ってきてロスカット</a:t>
          </a:r>
        </a:p>
      </xdr:txBody>
    </xdr:sp>
    <xdr:clientData/>
  </xdr:twoCellAnchor>
  <xdr:twoCellAnchor>
    <xdr:from>
      <xdr:col>14</xdr:col>
      <xdr:colOff>472124</xdr:colOff>
      <xdr:row>234</xdr:row>
      <xdr:rowOff>147294</xdr:rowOff>
    </xdr:from>
    <xdr:to>
      <xdr:col>17</xdr:col>
      <xdr:colOff>186573</xdr:colOff>
      <xdr:row>237</xdr:row>
      <xdr:rowOff>133543</xdr:rowOff>
    </xdr:to>
    <xdr:sp macro="" textlink="">
      <xdr:nvSpPr>
        <xdr:cNvPr id="103" name="角丸四角形吹き出し 102"/>
        <xdr:cNvSpPr/>
      </xdr:nvSpPr>
      <xdr:spPr>
        <a:xfrm>
          <a:off x="9957846" y="39209614"/>
          <a:ext cx="1747103" cy="487048"/>
        </a:xfrm>
        <a:prstGeom prst="wedgeRoundRectCallout">
          <a:avLst>
            <a:gd name="adj1" fmla="val -97921"/>
            <a:gd name="adj2" fmla="val 4606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チャネルラインではまだブレイクしていなかった！</a:t>
          </a:r>
        </a:p>
      </xdr:txBody>
    </xdr:sp>
    <xdr:clientData/>
  </xdr:twoCellAnchor>
  <xdr:twoCellAnchor>
    <xdr:from>
      <xdr:col>15</xdr:col>
      <xdr:colOff>363325</xdr:colOff>
      <xdr:row>238</xdr:row>
      <xdr:rowOff>108016</xdr:rowOff>
    </xdr:from>
    <xdr:to>
      <xdr:col>17</xdr:col>
      <xdr:colOff>510619</xdr:colOff>
      <xdr:row>242</xdr:row>
      <xdr:rowOff>39278</xdr:rowOff>
    </xdr:to>
    <xdr:sp macro="" textlink="">
      <xdr:nvSpPr>
        <xdr:cNvPr id="105" name="角丸四角形吹き出し 104"/>
        <xdr:cNvSpPr/>
      </xdr:nvSpPr>
      <xdr:spPr>
        <a:xfrm>
          <a:off x="10526598" y="39838068"/>
          <a:ext cx="1502397" cy="598994"/>
        </a:xfrm>
        <a:prstGeom prst="wedgeRoundRectCallout">
          <a:avLst>
            <a:gd name="adj1" fmla="val -30226"/>
            <a:gd name="adj2" fmla="val -7599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・都合よくラインを引いていた</a:t>
          </a:r>
          <a:endParaRPr kumimoji="1" lang="en-US" altLang="ja-JP" sz="1100"/>
        </a:p>
        <a:p>
          <a:pPr algn="ctr"/>
          <a:r>
            <a:rPr kumimoji="1" lang="ja-JP" altLang="en-US" sz="1100"/>
            <a:t>・寝る前で</a:t>
          </a:r>
          <a:r>
            <a:rPr kumimoji="1" lang="en-US" altLang="ja-JP" sz="1100"/>
            <a:t>IN</a:t>
          </a:r>
          <a:r>
            <a:rPr kumimoji="1" lang="ja-JP" altLang="en-US" sz="1100"/>
            <a:t>を焦った</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164</xdr:row>
      <xdr:rowOff>157114</xdr:rowOff>
    </xdr:from>
    <xdr:to>
      <xdr:col>18</xdr:col>
      <xdr:colOff>112827</xdr:colOff>
      <xdr:row>195</xdr:row>
      <xdr:rowOff>88376</xdr:rowOff>
    </xdr:to>
    <xdr:pic>
      <xdr:nvPicPr>
        <xdr:cNvPr id="45" name="Picture 4"/>
        <xdr:cNvPicPr>
          <a:picLocks noChangeAspect="1" noChangeArrowheads="1"/>
        </xdr:cNvPicPr>
      </xdr:nvPicPr>
      <xdr:blipFill>
        <a:blip xmlns:r="http://schemas.openxmlformats.org/officeDocument/2006/relationships" r:embed="rId1"/>
        <a:srcRect l="5574" t="16675" b="11664"/>
        <a:stretch>
          <a:fillRect/>
        </a:stretch>
      </xdr:blipFill>
      <xdr:spPr bwMode="auto">
        <a:xfrm>
          <a:off x="0" y="27534124"/>
          <a:ext cx="12308755" cy="5106185"/>
        </a:xfrm>
        <a:prstGeom prst="rect">
          <a:avLst/>
        </a:prstGeom>
        <a:noFill/>
        <a:ln w="1">
          <a:noFill/>
          <a:miter lim="800000"/>
          <a:headEnd/>
          <a:tailEnd type="none" w="med" len="med"/>
        </a:ln>
        <a:effectLst/>
      </xdr:spPr>
    </xdr:pic>
    <xdr:clientData/>
  </xdr:twoCellAnchor>
  <xdr:twoCellAnchor editAs="oneCell">
    <xdr:from>
      <xdr:col>0</xdr:col>
      <xdr:colOff>0</xdr:colOff>
      <xdr:row>132</xdr:row>
      <xdr:rowOff>0</xdr:rowOff>
    </xdr:from>
    <xdr:to>
      <xdr:col>18</xdr:col>
      <xdr:colOff>122646</xdr:colOff>
      <xdr:row>162</xdr:row>
      <xdr:rowOff>98197</xdr:rowOff>
    </xdr:to>
    <xdr:pic>
      <xdr:nvPicPr>
        <xdr:cNvPr id="10242" name="Picture 2"/>
        <xdr:cNvPicPr>
          <a:picLocks noChangeAspect="1" noChangeArrowheads="1"/>
        </xdr:cNvPicPr>
      </xdr:nvPicPr>
      <xdr:blipFill>
        <a:blip xmlns:r="http://schemas.openxmlformats.org/officeDocument/2006/relationships" r:embed="rId2"/>
        <a:srcRect l="5499" t="16537" b="11802"/>
        <a:stretch>
          <a:fillRect/>
        </a:stretch>
      </xdr:blipFill>
      <xdr:spPr bwMode="auto">
        <a:xfrm>
          <a:off x="0" y="22035155"/>
          <a:ext cx="12318574" cy="5106186"/>
        </a:xfrm>
        <a:prstGeom prst="rect">
          <a:avLst/>
        </a:prstGeom>
        <a:noFill/>
        <a:ln w="1">
          <a:noFill/>
          <a:miter lim="800000"/>
          <a:headEnd/>
          <a:tailEnd type="none" w="med" len="med"/>
        </a:ln>
        <a:effectLst/>
      </xdr:spPr>
    </xdr:pic>
    <xdr:clientData/>
  </xdr:twoCellAnchor>
  <xdr:twoCellAnchor editAs="oneCell">
    <xdr:from>
      <xdr:col>0</xdr:col>
      <xdr:colOff>0</xdr:colOff>
      <xdr:row>99</xdr:row>
      <xdr:rowOff>9820</xdr:rowOff>
    </xdr:from>
    <xdr:to>
      <xdr:col>18</xdr:col>
      <xdr:colOff>142285</xdr:colOff>
      <xdr:row>129</xdr:row>
      <xdr:rowOff>117835</xdr:rowOff>
    </xdr:to>
    <xdr:pic>
      <xdr:nvPicPr>
        <xdr:cNvPr id="39" name="Picture 3"/>
        <xdr:cNvPicPr>
          <a:picLocks noChangeAspect="1" noChangeArrowheads="1"/>
        </xdr:cNvPicPr>
      </xdr:nvPicPr>
      <xdr:blipFill>
        <a:blip xmlns:r="http://schemas.openxmlformats.org/officeDocument/2006/relationships" r:embed="rId3"/>
        <a:srcRect l="5348" t="16399" b="11802"/>
        <a:stretch>
          <a:fillRect/>
        </a:stretch>
      </xdr:blipFill>
      <xdr:spPr bwMode="auto">
        <a:xfrm>
          <a:off x="0" y="16536186"/>
          <a:ext cx="12338213" cy="5116005"/>
        </a:xfrm>
        <a:prstGeom prst="rect">
          <a:avLst/>
        </a:prstGeom>
        <a:noFill/>
        <a:ln w="1">
          <a:noFill/>
          <a:miter lim="800000"/>
          <a:headEnd/>
          <a:tailEnd type="none" w="med" len="med"/>
        </a:ln>
        <a:effectLst/>
      </xdr:spPr>
    </xdr:pic>
    <xdr:clientData/>
  </xdr:twoCellAnchor>
  <xdr:twoCellAnchor editAs="oneCell">
    <xdr:from>
      <xdr:col>0</xdr:col>
      <xdr:colOff>0</xdr:colOff>
      <xdr:row>33</xdr:row>
      <xdr:rowOff>9819</xdr:rowOff>
    </xdr:from>
    <xdr:to>
      <xdr:col>18</xdr:col>
      <xdr:colOff>161924</xdr:colOff>
      <xdr:row>64</xdr:row>
      <xdr:rowOff>9820</xdr:rowOff>
    </xdr:to>
    <xdr:pic>
      <xdr:nvPicPr>
        <xdr:cNvPr id="10243" name="Picture 3"/>
        <xdr:cNvPicPr>
          <a:picLocks noChangeAspect="1" noChangeArrowheads="1"/>
        </xdr:cNvPicPr>
      </xdr:nvPicPr>
      <xdr:blipFill>
        <a:blip xmlns:r="http://schemas.openxmlformats.org/officeDocument/2006/relationships" r:embed="rId4"/>
        <a:srcRect l="5198" t="16261" b="11113"/>
        <a:stretch>
          <a:fillRect/>
        </a:stretch>
      </xdr:blipFill>
      <xdr:spPr bwMode="auto">
        <a:xfrm>
          <a:off x="0" y="5518608"/>
          <a:ext cx="12357852" cy="5174923"/>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122646</xdr:colOff>
      <xdr:row>30</xdr:row>
      <xdr:rowOff>78556</xdr:rowOff>
    </xdr:to>
    <xdr:pic>
      <xdr:nvPicPr>
        <xdr:cNvPr id="10241" name="Picture 1"/>
        <xdr:cNvPicPr>
          <a:picLocks noChangeAspect="1" noChangeArrowheads="1"/>
        </xdr:cNvPicPr>
      </xdr:nvPicPr>
      <xdr:blipFill>
        <a:blip xmlns:r="http://schemas.openxmlformats.org/officeDocument/2006/relationships" r:embed="rId5"/>
        <a:srcRect l="5499" t="16813" b="11802"/>
        <a:stretch>
          <a:fillRect/>
        </a:stretch>
      </xdr:blipFill>
      <xdr:spPr bwMode="auto">
        <a:xfrm>
          <a:off x="0" y="0"/>
          <a:ext cx="12318574" cy="5086546"/>
        </a:xfrm>
        <a:prstGeom prst="rect">
          <a:avLst/>
        </a:prstGeom>
        <a:noFill/>
        <a:ln w="1">
          <a:noFill/>
          <a:miter lim="800000"/>
          <a:headEnd/>
          <a:tailEnd type="none" w="med" len="med"/>
        </a:ln>
        <a:effectLst/>
      </xdr:spPr>
    </xdr:pic>
    <xdr:clientData/>
  </xdr:twoCellAnchor>
  <xdr:twoCellAnchor>
    <xdr:from>
      <xdr:col>0</xdr:col>
      <xdr:colOff>240385</xdr:colOff>
      <xdr:row>1</xdr:row>
      <xdr:rowOff>9819</xdr:rowOff>
    </xdr:from>
    <xdr:to>
      <xdr:col>1</xdr:col>
      <xdr:colOff>112730</xdr:colOff>
      <xdr:row>2</xdr:row>
      <xdr:rowOff>108015</xdr:rowOff>
    </xdr:to>
    <xdr:sp macro="" textlink="">
      <xdr:nvSpPr>
        <xdr:cNvPr id="36" name="テキスト ボックス 35"/>
        <xdr:cNvSpPr txBox="1"/>
      </xdr:nvSpPr>
      <xdr:spPr>
        <a:xfrm>
          <a:off x="240385" y="176752"/>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No.89</a:t>
          </a:r>
          <a:endParaRPr kumimoji="1" lang="ja-JP" altLang="en-US" sz="1100"/>
        </a:p>
      </xdr:txBody>
    </xdr:sp>
    <xdr:clientData/>
  </xdr:twoCellAnchor>
  <xdr:twoCellAnchor>
    <xdr:from>
      <xdr:col>0</xdr:col>
      <xdr:colOff>235669</xdr:colOff>
      <xdr:row>3</xdr:row>
      <xdr:rowOff>34564</xdr:rowOff>
    </xdr:from>
    <xdr:to>
      <xdr:col>3</xdr:col>
      <xdr:colOff>0</xdr:colOff>
      <xdr:row>10</xdr:row>
      <xdr:rowOff>49099</xdr:rowOff>
    </xdr:to>
    <xdr:sp macro="" textlink="">
      <xdr:nvSpPr>
        <xdr:cNvPr id="37" name="テキスト ボックス 36"/>
        <xdr:cNvSpPr txBox="1"/>
      </xdr:nvSpPr>
      <xdr:spPr>
        <a:xfrm>
          <a:off x="235669" y="535363"/>
          <a:ext cx="1796986" cy="118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足で、</a:t>
          </a:r>
          <a:r>
            <a:rPr kumimoji="1" lang="en-US" altLang="ja-JP" sz="1100"/>
            <a:t>S/R</a:t>
          </a:r>
          <a:r>
            <a:rPr kumimoji="1" lang="ja-JP" altLang="en-US" sz="1100"/>
            <a:t>を上抜けたところで継続のチャートパターンが出ていたので、１</a:t>
          </a:r>
          <a:r>
            <a:rPr kumimoji="1" lang="en-US" altLang="ja-JP" sz="1100"/>
            <a:t>H</a:t>
          </a:r>
          <a:r>
            <a:rPr kumimoji="1" lang="ja-JP" altLang="en-US" sz="1100"/>
            <a:t>足にて</a:t>
          </a:r>
          <a:r>
            <a:rPr kumimoji="1" lang="en-US" altLang="ja-JP" sz="1100"/>
            <a:t>FS</a:t>
          </a:r>
          <a:r>
            <a:rPr kumimoji="1" lang="ja-JP" altLang="en-US" sz="1100"/>
            <a:t>（セカンド）狙いのプライスアクションを待った</a:t>
          </a:r>
          <a:endParaRPr kumimoji="1" lang="en-US" altLang="ja-JP" sz="1100"/>
        </a:p>
      </xdr:txBody>
    </xdr:sp>
    <xdr:clientData/>
  </xdr:twoCellAnchor>
  <xdr:twoCellAnchor>
    <xdr:from>
      <xdr:col>11</xdr:col>
      <xdr:colOff>657912</xdr:colOff>
      <xdr:row>8</xdr:row>
      <xdr:rowOff>117835</xdr:rowOff>
    </xdr:from>
    <xdr:to>
      <xdr:col>13</xdr:col>
      <xdr:colOff>284768</xdr:colOff>
      <xdr:row>11</xdr:row>
      <xdr:rowOff>157113</xdr:rowOff>
    </xdr:to>
    <xdr:sp macro="" textlink="">
      <xdr:nvSpPr>
        <xdr:cNvPr id="38" name="角丸四角形吹き出し 37"/>
        <xdr:cNvSpPr/>
      </xdr:nvSpPr>
      <xdr:spPr>
        <a:xfrm>
          <a:off x="8110979" y="1453299"/>
          <a:ext cx="981959" cy="540077"/>
        </a:xfrm>
        <a:prstGeom prst="wedgeRoundRectCallout">
          <a:avLst>
            <a:gd name="adj1" fmla="val 4878"/>
            <a:gd name="adj2" fmla="val -14274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EB</a:t>
          </a:r>
          <a:r>
            <a:rPr kumimoji="1" lang="ja-JP" altLang="en-US" sz="1100"/>
            <a:t>上抜きを待って</a:t>
          </a:r>
          <a:r>
            <a:rPr kumimoji="1" lang="en-US" altLang="ja-JP" sz="1100"/>
            <a:t>IN</a:t>
          </a:r>
          <a:endParaRPr kumimoji="1" lang="ja-JP" altLang="en-US" sz="1100"/>
        </a:p>
      </xdr:txBody>
    </xdr:sp>
    <xdr:clientData/>
  </xdr:twoCellAnchor>
  <xdr:twoCellAnchor>
    <xdr:from>
      <xdr:col>11</xdr:col>
      <xdr:colOff>353505</xdr:colOff>
      <xdr:row>3</xdr:row>
      <xdr:rowOff>127655</xdr:rowOff>
    </xdr:from>
    <xdr:to>
      <xdr:col>13</xdr:col>
      <xdr:colOff>363325</xdr:colOff>
      <xdr:row>3</xdr:row>
      <xdr:rowOff>129244</xdr:rowOff>
    </xdr:to>
    <xdr:cxnSp macro="">
      <xdr:nvCxnSpPr>
        <xdr:cNvPr id="40" name="直線コネクタ 39"/>
        <xdr:cNvCxnSpPr/>
      </xdr:nvCxnSpPr>
      <xdr:spPr>
        <a:xfrm>
          <a:off x="7806572" y="628454"/>
          <a:ext cx="1364923" cy="1589"/>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584462</xdr:colOff>
      <xdr:row>1</xdr:row>
      <xdr:rowOff>93482</xdr:rowOff>
    </xdr:from>
    <xdr:to>
      <xdr:col>17</xdr:col>
      <xdr:colOff>9821</xdr:colOff>
      <xdr:row>8</xdr:row>
      <xdr:rowOff>88375</xdr:rowOff>
    </xdr:to>
    <xdr:sp macro="" textlink="">
      <xdr:nvSpPr>
        <xdr:cNvPr id="47" name="角丸四角形吹き出し 46"/>
        <xdr:cNvSpPr/>
      </xdr:nvSpPr>
      <xdr:spPr>
        <a:xfrm>
          <a:off x="10070184" y="260415"/>
          <a:ext cx="1458013" cy="1163424"/>
        </a:xfrm>
        <a:prstGeom prst="wedgeRoundRectCallout">
          <a:avLst>
            <a:gd name="adj1" fmla="val -130960"/>
            <a:gd name="adj2" fmla="val -5893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強い</a:t>
          </a:r>
          <a:r>
            <a:rPr kumimoji="1" lang="en-US" altLang="ja-JP" sz="1100"/>
            <a:t>S/R</a:t>
          </a:r>
          <a:r>
            <a:rPr kumimoji="1" lang="ja-JP" altLang="en-US" sz="1100"/>
            <a:t>に置いたターゲットまで届かず下落。</a:t>
          </a:r>
          <a:endParaRPr kumimoji="1" lang="en-US" altLang="ja-JP" sz="1100"/>
        </a:p>
        <a:p>
          <a:pPr algn="ctr"/>
          <a:r>
            <a:rPr kumimoji="1" lang="ja-JP" altLang="en-US" sz="1100"/>
            <a:t>直近高値に移動していたストップにかかり決済</a:t>
          </a:r>
        </a:p>
      </xdr:txBody>
    </xdr:sp>
    <xdr:clientData/>
  </xdr:twoCellAnchor>
  <xdr:twoCellAnchor>
    <xdr:from>
      <xdr:col>14</xdr:col>
      <xdr:colOff>363324</xdr:colOff>
      <xdr:row>21</xdr:row>
      <xdr:rowOff>78556</xdr:rowOff>
    </xdr:from>
    <xdr:to>
      <xdr:col>17</xdr:col>
      <xdr:colOff>78557</xdr:colOff>
      <xdr:row>28</xdr:row>
      <xdr:rowOff>68737</xdr:rowOff>
    </xdr:to>
    <xdr:sp macro="" textlink="">
      <xdr:nvSpPr>
        <xdr:cNvPr id="48" name="テキスト ボックス 47"/>
        <xdr:cNvSpPr txBox="1"/>
      </xdr:nvSpPr>
      <xdr:spPr>
        <a:xfrm>
          <a:off x="9849046" y="3584149"/>
          <a:ext cx="1747887" cy="11587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この後</a:t>
          </a:r>
          <a:endParaRPr kumimoji="1" lang="en-US" altLang="ja-JP" sz="1100"/>
        </a:p>
        <a:p>
          <a:r>
            <a:rPr kumimoji="1" lang="ja-JP" altLang="en-US" sz="1100"/>
            <a:t>強い</a:t>
          </a:r>
          <a:r>
            <a:rPr kumimoji="1" lang="en-US" altLang="ja-JP" sz="1100"/>
            <a:t>S/R</a:t>
          </a:r>
          <a:r>
            <a:rPr kumimoji="1" lang="ja-JP" altLang="en-US" sz="1100"/>
            <a:t>で跳ね返された</a:t>
          </a:r>
          <a:endParaRPr kumimoji="1" lang="en-US" altLang="ja-JP" sz="1100"/>
        </a:p>
        <a:p>
          <a:r>
            <a:rPr kumimoji="1" lang="en-US" altLang="ja-JP" sz="1100"/>
            <a:t>FS</a:t>
          </a:r>
          <a:r>
            <a:rPr kumimoji="1" lang="ja-JP" altLang="en-US" sz="1100"/>
            <a:t>になれば</a:t>
          </a:r>
          <a:r>
            <a:rPr kumimoji="1" lang="en-US" altLang="ja-JP" sz="1100"/>
            <a:t>H/S</a:t>
          </a:r>
          <a:r>
            <a:rPr kumimoji="1" lang="ja-JP" altLang="en-US" sz="1100"/>
            <a:t>形成</a:t>
          </a:r>
          <a:endParaRPr kumimoji="1" lang="en-US" altLang="ja-JP" sz="1100"/>
        </a:p>
        <a:p>
          <a:r>
            <a:rPr kumimoji="1" lang="en-US" altLang="ja-JP" sz="1100"/>
            <a:t>D/S</a:t>
          </a:r>
          <a:r>
            <a:rPr kumimoji="1" lang="ja-JP" altLang="en-US" sz="1100"/>
            <a:t>が出ている</a:t>
          </a:r>
          <a:endParaRPr kumimoji="1" lang="en-US" altLang="ja-JP" sz="1100"/>
        </a:p>
        <a:p>
          <a:r>
            <a:rPr kumimoji="1" lang="ja-JP" altLang="en-US" sz="1100"/>
            <a:t>以上より、売りタイミングを考えてみる</a:t>
          </a:r>
          <a:endParaRPr kumimoji="1" lang="en-US" altLang="ja-JP" sz="1100"/>
        </a:p>
        <a:p>
          <a:endParaRPr kumimoji="1" lang="ja-JP" altLang="en-US" sz="1100"/>
        </a:p>
      </xdr:txBody>
    </xdr:sp>
    <xdr:clientData/>
  </xdr:twoCellAnchor>
  <xdr:twoCellAnchor>
    <xdr:from>
      <xdr:col>0</xdr:col>
      <xdr:colOff>245491</xdr:colOff>
      <xdr:row>34</xdr:row>
      <xdr:rowOff>14924</xdr:rowOff>
    </xdr:from>
    <xdr:to>
      <xdr:col>1</xdr:col>
      <xdr:colOff>117836</xdr:colOff>
      <xdr:row>35</xdr:row>
      <xdr:rowOff>113120</xdr:rowOff>
    </xdr:to>
    <xdr:sp macro="" textlink="">
      <xdr:nvSpPr>
        <xdr:cNvPr id="43" name="テキスト ボックス 42"/>
        <xdr:cNvSpPr txBox="1"/>
      </xdr:nvSpPr>
      <xdr:spPr>
        <a:xfrm>
          <a:off x="245491" y="5690646"/>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No.90</a:t>
          </a:r>
          <a:endParaRPr kumimoji="1" lang="ja-JP" altLang="en-US" sz="1100"/>
        </a:p>
      </xdr:txBody>
    </xdr:sp>
    <xdr:clientData/>
  </xdr:twoCellAnchor>
  <xdr:twoCellAnchor>
    <xdr:from>
      <xdr:col>0</xdr:col>
      <xdr:colOff>240775</xdr:colOff>
      <xdr:row>36</xdr:row>
      <xdr:rowOff>39669</xdr:rowOff>
    </xdr:from>
    <xdr:to>
      <xdr:col>3</xdr:col>
      <xdr:colOff>5106</xdr:colOff>
      <xdr:row>43</xdr:row>
      <xdr:rowOff>54204</xdr:rowOff>
    </xdr:to>
    <xdr:sp macro="" textlink="">
      <xdr:nvSpPr>
        <xdr:cNvPr id="44" name="テキスト ボックス 43"/>
        <xdr:cNvSpPr txBox="1"/>
      </xdr:nvSpPr>
      <xdr:spPr>
        <a:xfrm>
          <a:off x="240775" y="6049257"/>
          <a:ext cx="1796986" cy="118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足で、</a:t>
          </a:r>
          <a:r>
            <a:rPr kumimoji="1" lang="en-US" altLang="ja-JP" sz="1100"/>
            <a:t>S/R</a:t>
          </a:r>
          <a:r>
            <a:rPr kumimoji="1" lang="ja-JP" altLang="en-US" sz="1100"/>
            <a:t>に当たったところで微妙だが</a:t>
          </a:r>
          <a:r>
            <a:rPr kumimoji="1" lang="en-US" altLang="ja-JP" sz="1100"/>
            <a:t>D/J</a:t>
          </a:r>
          <a:r>
            <a:rPr kumimoji="1" lang="ja-JP" altLang="en-US" sz="1100"/>
            <a:t>を確認。大きな下落になりそうだったので、少し遅れたが次の</a:t>
          </a:r>
          <a:r>
            <a:rPr kumimoji="1" lang="en-US" altLang="ja-JP" sz="1100"/>
            <a:t>S/R</a:t>
          </a:r>
          <a:r>
            <a:rPr kumimoji="1" lang="ja-JP" altLang="en-US" sz="1100"/>
            <a:t>を下抜け後の</a:t>
          </a:r>
          <a:r>
            <a:rPr kumimoji="1" lang="en-US" altLang="ja-JP" sz="1100"/>
            <a:t>FS</a:t>
          </a:r>
          <a:r>
            <a:rPr kumimoji="1" lang="ja-JP" altLang="en-US" sz="1100"/>
            <a:t>を１</a:t>
          </a:r>
          <a:r>
            <a:rPr kumimoji="1" lang="en-US" altLang="ja-JP" sz="1100"/>
            <a:t>H</a:t>
          </a:r>
          <a:r>
            <a:rPr kumimoji="1" lang="ja-JP" altLang="en-US" sz="1100"/>
            <a:t>足で狙ってみた・・・つもり。</a:t>
          </a:r>
          <a:endParaRPr kumimoji="1" lang="en-US" altLang="ja-JP" sz="1100"/>
        </a:p>
      </xdr:txBody>
    </xdr:sp>
    <xdr:clientData/>
  </xdr:twoCellAnchor>
  <xdr:twoCellAnchor>
    <xdr:from>
      <xdr:col>11</xdr:col>
      <xdr:colOff>446987</xdr:colOff>
      <xdr:row>52</xdr:row>
      <xdr:rowOff>34565</xdr:rowOff>
    </xdr:from>
    <xdr:to>
      <xdr:col>13</xdr:col>
      <xdr:colOff>235670</xdr:colOff>
      <xdr:row>55</xdr:row>
      <xdr:rowOff>73843</xdr:rowOff>
    </xdr:to>
    <xdr:sp macro="" textlink="">
      <xdr:nvSpPr>
        <xdr:cNvPr id="49" name="角丸四角形吹き出し 48"/>
        <xdr:cNvSpPr/>
      </xdr:nvSpPr>
      <xdr:spPr>
        <a:xfrm>
          <a:off x="7900054" y="8715080"/>
          <a:ext cx="1143786" cy="540077"/>
        </a:xfrm>
        <a:prstGeom prst="wedgeRoundRectCallout">
          <a:avLst>
            <a:gd name="adj1" fmla="val -59213"/>
            <a:gd name="adj2" fmla="val -14638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この辺りで</a:t>
          </a:r>
          <a:r>
            <a:rPr kumimoji="1" lang="en-US" altLang="ja-JP" sz="1100"/>
            <a:t>IN</a:t>
          </a:r>
          <a:endParaRPr kumimoji="1" lang="ja-JP" altLang="en-US" sz="1100"/>
        </a:p>
      </xdr:txBody>
    </xdr:sp>
    <xdr:clientData/>
  </xdr:twoCellAnchor>
  <xdr:twoCellAnchor>
    <xdr:from>
      <xdr:col>11</xdr:col>
      <xdr:colOff>540469</xdr:colOff>
      <xdr:row>38</xdr:row>
      <xdr:rowOff>108407</xdr:rowOff>
    </xdr:from>
    <xdr:to>
      <xdr:col>13</xdr:col>
      <xdr:colOff>329152</xdr:colOff>
      <xdr:row>41</xdr:row>
      <xdr:rowOff>147685</xdr:rowOff>
    </xdr:to>
    <xdr:sp macro="" textlink="">
      <xdr:nvSpPr>
        <xdr:cNvPr id="50" name="角丸四角形吹き出し 49"/>
        <xdr:cNvSpPr/>
      </xdr:nvSpPr>
      <xdr:spPr>
        <a:xfrm>
          <a:off x="7993536" y="6451861"/>
          <a:ext cx="1143786" cy="540077"/>
        </a:xfrm>
        <a:prstGeom prst="wedgeRoundRectCallout">
          <a:avLst>
            <a:gd name="adj1" fmla="val -42043"/>
            <a:gd name="adj2" fmla="val 16270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ここでロスカット</a:t>
          </a:r>
        </a:p>
      </xdr:txBody>
    </xdr:sp>
    <xdr:clientData/>
  </xdr:twoCellAnchor>
  <xdr:twoCellAnchor>
    <xdr:from>
      <xdr:col>13</xdr:col>
      <xdr:colOff>491371</xdr:colOff>
      <xdr:row>52</xdr:row>
      <xdr:rowOff>98196</xdr:rowOff>
    </xdr:from>
    <xdr:to>
      <xdr:col>16</xdr:col>
      <xdr:colOff>559715</xdr:colOff>
      <xdr:row>56</xdr:row>
      <xdr:rowOff>0</xdr:rowOff>
    </xdr:to>
    <xdr:sp macro="" textlink="">
      <xdr:nvSpPr>
        <xdr:cNvPr id="51" name="角丸四角形吹き出し 50"/>
        <xdr:cNvSpPr/>
      </xdr:nvSpPr>
      <xdr:spPr>
        <a:xfrm>
          <a:off x="9299541" y="8778711"/>
          <a:ext cx="2100999" cy="569536"/>
        </a:xfrm>
        <a:prstGeom prst="wedgeRoundRectCallout">
          <a:avLst>
            <a:gd name="adj1" fmla="val -64265"/>
            <a:gd name="adj2" fmla="val -633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４</a:t>
          </a:r>
          <a:r>
            <a:rPr kumimoji="1" lang="en-US" altLang="ja-JP" sz="1100"/>
            <a:t>H</a:t>
          </a:r>
          <a:r>
            <a:rPr kumimoji="1" lang="ja-JP" altLang="en-US" sz="1100"/>
            <a:t>足で見ると</a:t>
          </a:r>
          <a:r>
            <a:rPr kumimoji="1" lang="en-US" altLang="ja-JP" sz="1100"/>
            <a:t>S/R</a:t>
          </a:r>
          <a:r>
            <a:rPr kumimoji="1" lang="ja-JP" altLang="en-US" sz="1100"/>
            <a:t>をヒゲだけ抜けた状態で、逆</a:t>
          </a:r>
          <a:r>
            <a:rPr kumimoji="1" lang="en-US" altLang="ja-JP" sz="1100"/>
            <a:t>H/S</a:t>
          </a:r>
          <a:r>
            <a:rPr kumimoji="1" lang="ja-JP" altLang="en-US" sz="1100"/>
            <a:t>に見える</a:t>
          </a:r>
          <a:endParaRPr kumimoji="1" lang="en-US" altLang="ja-JP" sz="1100"/>
        </a:p>
        <a:p>
          <a:pPr algn="ctr"/>
          <a:endParaRPr kumimoji="1" lang="ja-JP" altLang="en-US" sz="1100"/>
        </a:p>
      </xdr:txBody>
    </xdr:sp>
    <xdr:clientData/>
  </xdr:twoCellAnchor>
  <xdr:twoCellAnchor>
    <xdr:from>
      <xdr:col>11</xdr:col>
      <xdr:colOff>452093</xdr:colOff>
      <xdr:row>56</xdr:row>
      <xdr:rowOff>20033</xdr:rowOff>
    </xdr:from>
    <xdr:to>
      <xdr:col>13</xdr:col>
      <xdr:colOff>579356</xdr:colOff>
      <xdr:row>59</xdr:row>
      <xdr:rowOff>59311</xdr:rowOff>
    </xdr:to>
    <xdr:sp macro="" textlink="">
      <xdr:nvSpPr>
        <xdr:cNvPr id="52" name="角丸四角形吹き出し 51"/>
        <xdr:cNvSpPr/>
      </xdr:nvSpPr>
      <xdr:spPr>
        <a:xfrm>
          <a:off x="7905160" y="9368280"/>
          <a:ext cx="1482366" cy="540077"/>
        </a:xfrm>
        <a:prstGeom prst="wedgeRoundRectCallout">
          <a:avLst>
            <a:gd name="adj1" fmla="val -26319"/>
            <a:gd name="adj2" fmla="val -9183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リアルタイムで見てて大きく下落側に動いた時点で</a:t>
          </a:r>
          <a:r>
            <a:rPr kumimoji="1" lang="en-US" altLang="ja-JP" sz="1100"/>
            <a:t>IN</a:t>
          </a:r>
          <a:r>
            <a:rPr kumimoji="1" lang="ja-JP" altLang="en-US" sz="1100"/>
            <a:t>した</a:t>
          </a:r>
        </a:p>
      </xdr:txBody>
    </xdr:sp>
    <xdr:clientData/>
  </xdr:twoCellAnchor>
  <xdr:twoCellAnchor>
    <xdr:from>
      <xdr:col>13</xdr:col>
      <xdr:colOff>643771</xdr:colOff>
      <xdr:row>57</xdr:row>
      <xdr:rowOff>123335</xdr:rowOff>
    </xdr:from>
    <xdr:to>
      <xdr:col>16</xdr:col>
      <xdr:colOff>93482</xdr:colOff>
      <xdr:row>60</xdr:row>
      <xdr:rowOff>162613</xdr:rowOff>
    </xdr:to>
    <xdr:sp macro="" textlink="">
      <xdr:nvSpPr>
        <xdr:cNvPr id="53" name="角丸四角形吹き出し 52"/>
        <xdr:cNvSpPr/>
      </xdr:nvSpPr>
      <xdr:spPr>
        <a:xfrm>
          <a:off x="9451941" y="9638515"/>
          <a:ext cx="1482366" cy="540077"/>
        </a:xfrm>
        <a:prstGeom prst="wedgeRoundRectCallout">
          <a:avLst>
            <a:gd name="adj1" fmla="val -59440"/>
            <a:gd name="adj2" fmla="val -2820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短い時間足で見てるのと同じ！！</a:t>
          </a:r>
          <a:r>
            <a:rPr kumimoji="1" lang="en-US" altLang="ja-JP" sz="1100"/>
            <a:t>×</a:t>
          </a:r>
          <a:endParaRPr kumimoji="1" lang="ja-JP" altLang="en-US" sz="1100"/>
        </a:p>
      </xdr:txBody>
    </xdr:sp>
    <xdr:clientData/>
  </xdr:twoCellAnchor>
  <xdr:twoCellAnchor>
    <xdr:from>
      <xdr:col>12</xdr:col>
      <xdr:colOff>280053</xdr:colOff>
      <xdr:row>13</xdr:row>
      <xdr:rowOff>122941</xdr:rowOff>
    </xdr:from>
    <xdr:to>
      <xdr:col>14</xdr:col>
      <xdr:colOff>117835</xdr:colOff>
      <xdr:row>17</xdr:row>
      <xdr:rowOff>117834</xdr:rowOff>
    </xdr:to>
    <xdr:sp macro="" textlink="">
      <xdr:nvSpPr>
        <xdr:cNvPr id="55" name="角丸四角形吹き出し 54"/>
        <xdr:cNvSpPr/>
      </xdr:nvSpPr>
      <xdr:spPr>
        <a:xfrm>
          <a:off x="8410672" y="2293070"/>
          <a:ext cx="1192885" cy="662625"/>
        </a:xfrm>
        <a:prstGeom prst="wedgeRoundRectCallout">
          <a:avLst>
            <a:gd name="adj1" fmla="val -28768"/>
            <a:gd name="adj2" fmla="val -10018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今回プライスアクションまで待てた！</a:t>
          </a:r>
          <a:r>
            <a:rPr kumimoji="1" lang="en-US" altLang="ja-JP" sz="1100"/>
            <a:t>OK</a:t>
          </a:r>
          <a:r>
            <a:rPr kumimoji="1" lang="ja-JP" altLang="en-US" sz="1100"/>
            <a:t>！</a:t>
          </a:r>
        </a:p>
      </xdr:txBody>
    </xdr:sp>
    <xdr:clientData/>
  </xdr:twoCellAnchor>
  <xdr:twoCellAnchor editAs="oneCell">
    <xdr:from>
      <xdr:col>0</xdr:col>
      <xdr:colOff>0</xdr:colOff>
      <xdr:row>66</xdr:row>
      <xdr:rowOff>19639</xdr:rowOff>
    </xdr:from>
    <xdr:to>
      <xdr:col>18</xdr:col>
      <xdr:colOff>122646</xdr:colOff>
      <xdr:row>96</xdr:row>
      <xdr:rowOff>117835</xdr:rowOff>
    </xdr:to>
    <xdr:pic>
      <xdr:nvPicPr>
        <xdr:cNvPr id="35" name="Picture 1"/>
        <xdr:cNvPicPr>
          <a:picLocks noChangeAspect="1" noChangeArrowheads="1"/>
        </xdr:cNvPicPr>
      </xdr:nvPicPr>
      <xdr:blipFill>
        <a:blip xmlns:r="http://schemas.openxmlformats.org/officeDocument/2006/relationships" r:embed="rId6"/>
        <a:srcRect l="5499" t="16813" b="11526"/>
        <a:stretch>
          <a:fillRect/>
        </a:stretch>
      </xdr:blipFill>
      <xdr:spPr bwMode="auto">
        <a:xfrm>
          <a:off x="0" y="11037216"/>
          <a:ext cx="12318574" cy="5106186"/>
        </a:xfrm>
        <a:prstGeom prst="rect">
          <a:avLst/>
        </a:prstGeom>
        <a:noFill/>
        <a:ln w="1">
          <a:noFill/>
          <a:miter lim="800000"/>
          <a:headEnd/>
          <a:tailEnd type="none" w="med" len="med"/>
        </a:ln>
        <a:effectLst/>
      </xdr:spPr>
    </xdr:pic>
    <xdr:clientData/>
  </xdr:twoCellAnchor>
  <xdr:twoCellAnchor>
    <xdr:from>
      <xdr:col>0</xdr:col>
      <xdr:colOff>172041</xdr:colOff>
      <xdr:row>67</xdr:row>
      <xdr:rowOff>10211</xdr:rowOff>
    </xdr:from>
    <xdr:to>
      <xdr:col>1</xdr:col>
      <xdr:colOff>44386</xdr:colOff>
      <xdr:row>68</xdr:row>
      <xdr:rowOff>108407</xdr:rowOff>
    </xdr:to>
    <xdr:sp macro="" textlink="">
      <xdr:nvSpPr>
        <xdr:cNvPr id="54" name="テキスト ボックス 53"/>
        <xdr:cNvSpPr txBox="1"/>
      </xdr:nvSpPr>
      <xdr:spPr>
        <a:xfrm>
          <a:off x="172041" y="11194721"/>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No.91</a:t>
          </a:r>
          <a:endParaRPr kumimoji="1" lang="ja-JP" altLang="en-US" sz="1100"/>
        </a:p>
      </xdr:txBody>
    </xdr:sp>
    <xdr:clientData/>
  </xdr:twoCellAnchor>
  <xdr:twoCellAnchor>
    <xdr:from>
      <xdr:col>0</xdr:col>
      <xdr:colOff>167325</xdr:colOff>
      <xdr:row>69</xdr:row>
      <xdr:rowOff>34956</xdr:rowOff>
    </xdr:from>
    <xdr:to>
      <xdr:col>2</xdr:col>
      <xdr:colOff>609208</xdr:colOff>
      <xdr:row>73</xdr:row>
      <xdr:rowOff>9820</xdr:rowOff>
    </xdr:to>
    <xdr:sp macro="" textlink="">
      <xdr:nvSpPr>
        <xdr:cNvPr id="56" name="テキスト ボックス 55"/>
        <xdr:cNvSpPr txBox="1"/>
      </xdr:nvSpPr>
      <xdr:spPr>
        <a:xfrm>
          <a:off x="167325" y="11553332"/>
          <a:ext cx="1796986" cy="6425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戻りの無い相場→</a:t>
          </a:r>
          <a:r>
            <a:rPr kumimoji="1" lang="en-US" altLang="ja-JP" sz="1100"/>
            <a:t>D/J</a:t>
          </a:r>
          <a:r>
            <a:rPr kumimoji="1" lang="ja-JP" altLang="en-US" sz="1100"/>
            <a:t>＋</a:t>
          </a:r>
          <a:r>
            <a:rPr kumimoji="1" lang="en-US" altLang="ja-JP" sz="1100"/>
            <a:t>W</a:t>
          </a:r>
          <a:r>
            <a:rPr kumimoji="1" lang="ja-JP" altLang="en-US" sz="1100"/>
            <a:t>トップと見て、</a:t>
          </a:r>
          <a:r>
            <a:rPr kumimoji="1" lang="en-US" altLang="ja-JP" sz="1100"/>
            <a:t>IN</a:t>
          </a:r>
          <a:r>
            <a:rPr kumimoji="1" lang="ja-JP" altLang="en-US" sz="1100"/>
            <a:t>タイミングを探った。</a:t>
          </a:r>
          <a:endParaRPr kumimoji="1" lang="en-US" altLang="ja-JP" sz="1100"/>
        </a:p>
      </xdr:txBody>
    </xdr:sp>
    <xdr:clientData/>
  </xdr:twoCellAnchor>
  <xdr:twoCellAnchor>
    <xdr:from>
      <xdr:col>9</xdr:col>
      <xdr:colOff>402996</xdr:colOff>
      <xdr:row>77</xdr:row>
      <xdr:rowOff>98588</xdr:rowOff>
    </xdr:from>
    <xdr:to>
      <xdr:col>11</xdr:col>
      <xdr:colOff>191679</xdr:colOff>
      <xdr:row>80</xdr:row>
      <xdr:rowOff>137866</xdr:rowOff>
    </xdr:to>
    <xdr:sp macro="" textlink="">
      <xdr:nvSpPr>
        <xdr:cNvPr id="57" name="角丸四角形吹き出し 56"/>
        <xdr:cNvSpPr/>
      </xdr:nvSpPr>
      <xdr:spPr>
        <a:xfrm>
          <a:off x="6500960" y="12952428"/>
          <a:ext cx="1143786" cy="540077"/>
        </a:xfrm>
        <a:prstGeom prst="wedgeRoundRectCallout">
          <a:avLst>
            <a:gd name="adj1" fmla="val 47243"/>
            <a:gd name="adj2" fmla="val -1536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下抜きで</a:t>
          </a:r>
          <a:r>
            <a:rPr kumimoji="1" lang="en-US" altLang="ja-JP" sz="1100"/>
            <a:t>IN</a:t>
          </a:r>
          <a:endParaRPr kumimoji="1" lang="ja-JP" altLang="en-US" sz="1100"/>
        </a:p>
      </xdr:txBody>
    </xdr:sp>
    <xdr:clientData/>
  </xdr:twoCellAnchor>
  <xdr:twoCellAnchor>
    <xdr:from>
      <xdr:col>6</xdr:col>
      <xdr:colOff>353505</xdr:colOff>
      <xdr:row>88</xdr:row>
      <xdr:rowOff>68737</xdr:rowOff>
    </xdr:from>
    <xdr:to>
      <xdr:col>8</xdr:col>
      <xdr:colOff>520439</xdr:colOff>
      <xdr:row>89</xdr:row>
      <xdr:rowOff>117835</xdr:rowOff>
    </xdr:to>
    <xdr:cxnSp macro="">
      <xdr:nvCxnSpPr>
        <xdr:cNvPr id="59" name="直線矢印コネクタ 58"/>
        <xdr:cNvCxnSpPr/>
      </xdr:nvCxnSpPr>
      <xdr:spPr>
        <a:xfrm>
          <a:off x="4418814" y="14758840"/>
          <a:ext cx="1522037" cy="216031"/>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181858</xdr:colOff>
      <xdr:row>67</xdr:row>
      <xdr:rowOff>68738</xdr:rowOff>
    </xdr:from>
    <xdr:to>
      <xdr:col>8</xdr:col>
      <xdr:colOff>245490</xdr:colOff>
      <xdr:row>68</xdr:row>
      <xdr:rowOff>132762</xdr:rowOff>
    </xdr:to>
    <xdr:cxnSp macro="">
      <xdr:nvCxnSpPr>
        <xdr:cNvPr id="60" name="直線矢印コネクタ 59"/>
        <xdr:cNvCxnSpPr/>
      </xdr:nvCxnSpPr>
      <xdr:spPr>
        <a:xfrm flipV="1">
          <a:off x="4247167" y="11253248"/>
          <a:ext cx="1418735" cy="230957"/>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569536</xdr:colOff>
      <xdr:row>71</xdr:row>
      <xdr:rowOff>147294</xdr:rowOff>
    </xdr:from>
    <xdr:to>
      <xdr:col>12</xdr:col>
      <xdr:colOff>39278</xdr:colOff>
      <xdr:row>71</xdr:row>
      <xdr:rowOff>148882</xdr:rowOff>
    </xdr:to>
    <xdr:cxnSp macro="">
      <xdr:nvCxnSpPr>
        <xdr:cNvPr id="63" name="直線コネクタ 62"/>
        <xdr:cNvCxnSpPr/>
      </xdr:nvCxnSpPr>
      <xdr:spPr>
        <a:xfrm>
          <a:off x="6667500" y="11999536"/>
          <a:ext cx="1502397"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113514</xdr:colOff>
      <xdr:row>72</xdr:row>
      <xdr:rowOff>152792</xdr:rowOff>
    </xdr:from>
    <xdr:to>
      <xdr:col>13</xdr:col>
      <xdr:colOff>579749</xdr:colOff>
      <xdr:row>76</xdr:row>
      <xdr:rowOff>25137</xdr:rowOff>
    </xdr:to>
    <xdr:sp macro="" textlink="">
      <xdr:nvSpPr>
        <xdr:cNvPr id="64" name="角丸四角形吹き出し 63"/>
        <xdr:cNvSpPr/>
      </xdr:nvSpPr>
      <xdr:spPr>
        <a:xfrm>
          <a:off x="8244133" y="12171967"/>
          <a:ext cx="1143786" cy="540077"/>
        </a:xfrm>
        <a:prstGeom prst="wedgeRoundRectCallout">
          <a:avLst>
            <a:gd name="adj1" fmla="val -81534"/>
            <a:gd name="adj2" fmla="val -7911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7</xdr:col>
      <xdr:colOff>476839</xdr:colOff>
      <xdr:row>79</xdr:row>
      <xdr:rowOff>166932</xdr:rowOff>
    </xdr:from>
    <xdr:to>
      <xdr:col>9</xdr:col>
      <xdr:colOff>265522</xdr:colOff>
      <xdr:row>83</xdr:row>
      <xdr:rowOff>147294</xdr:rowOff>
    </xdr:to>
    <xdr:sp macro="" textlink="">
      <xdr:nvSpPr>
        <xdr:cNvPr id="65" name="角丸四角形吹き出し 64"/>
        <xdr:cNvSpPr/>
      </xdr:nvSpPr>
      <xdr:spPr>
        <a:xfrm>
          <a:off x="5219700" y="13354638"/>
          <a:ext cx="1143786" cy="648094"/>
        </a:xfrm>
        <a:prstGeom prst="wedgeRoundRectCallout">
          <a:avLst>
            <a:gd name="adj1" fmla="val 23204"/>
            <a:gd name="adj2" fmla="val -17763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このヒゲの下をエントリーポイントとするべき</a:t>
          </a:r>
        </a:p>
      </xdr:txBody>
    </xdr:sp>
    <xdr:clientData/>
  </xdr:twoCellAnchor>
  <xdr:twoCellAnchor>
    <xdr:from>
      <xdr:col>11</xdr:col>
      <xdr:colOff>256095</xdr:colOff>
      <xdr:row>80</xdr:row>
      <xdr:rowOff>152399</xdr:rowOff>
    </xdr:from>
    <xdr:to>
      <xdr:col>13</xdr:col>
      <xdr:colOff>44778</xdr:colOff>
      <xdr:row>84</xdr:row>
      <xdr:rowOff>132761</xdr:rowOff>
    </xdr:to>
    <xdr:sp macro="" textlink="">
      <xdr:nvSpPr>
        <xdr:cNvPr id="66" name="角丸四角形吹き出し 65"/>
        <xdr:cNvSpPr/>
      </xdr:nvSpPr>
      <xdr:spPr>
        <a:xfrm>
          <a:off x="7709162" y="13507038"/>
          <a:ext cx="1143786" cy="648094"/>
        </a:xfrm>
        <a:prstGeom prst="wedgeRoundRectCallout">
          <a:avLst>
            <a:gd name="adj1" fmla="val -49770"/>
            <a:gd name="adj2" fmla="val -20945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４</a:t>
          </a:r>
          <a:r>
            <a:rPr kumimoji="1" lang="en-US" altLang="ja-JP" sz="1100"/>
            <a:t>H</a:t>
          </a:r>
          <a:r>
            <a:rPr kumimoji="1" lang="ja-JP" altLang="en-US" sz="1100"/>
            <a:t>足で見るとヒゲだけ抜けた状態</a:t>
          </a:r>
        </a:p>
      </xdr:txBody>
    </xdr:sp>
    <xdr:clientData/>
  </xdr:twoCellAnchor>
  <xdr:twoCellAnchor>
    <xdr:from>
      <xdr:col>6</xdr:col>
      <xdr:colOff>19638</xdr:colOff>
      <xdr:row>83</xdr:row>
      <xdr:rowOff>58918</xdr:rowOff>
    </xdr:from>
    <xdr:to>
      <xdr:col>7</xdr:col>
      <xdr:colOff>29851</xdr:colOff>
      <xdr:row>85</xdr:row>
      <xdr:rowOff>54596</xdr:rowOff>
    </xdr:to>
    <xdr:sp macro="" textlink="">
      <xdr:nvSpPr>
        <xdr:cNvPr id="67" name="角丸四角形吹き出し 66"/>
        <xdr:cNvSpPr/>
      </xdr:nvSpPr>
      <xdr:spPr>
        <a:xfrm>
          <a:off x="4084947" y="13914356"/>
          <a:ext cx="687765" cy="329544"/>
        </a:xfrm>
        <a:prstGeom prst="wedgeRoundRectCallout">
          <a:avLst>
            <a:gd name="adj1" fmla="val 53253"/>
            <a:gd name="adj2" fmla="val 1045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endParaRPr kumimoji="1" lang="ja-JP" altLang="en-US" sz="1100"/>
        </a:p>
      </xdr:txBody>
    </xdr:sp>
    <xdr:clientData/>
  </xdr:twoCellAnchor>
  <xdr:twoCellAnchor>
    <xdr:from>
      <xdr:col>0</xdr:col>
      <xdr:colOff>177147</xdr:colOff>
      <xdr:row>100</xdr:row>
      <xdr:rowOff>15317</xdr:rowOff>
    </xdr:from>
    <xdr:to>
      <xdr:col>1</xdr:col>
      <xdr:colOff>294586</xdr:colOff>
      <xdr:row>101</xdr:row>
      <xdr:rowOff>113513</xdr:rowOff>
    </xdr:to>
    <xdr:sp macro="" textlink="">
      <xdr:nvSpPr>
        <xdr:cNvPr id="68" name="テキスト ボックス 67"/>
        <xdr:cNvSpPr txBox="1"/>
      </xdr:nvSpPr>
      <xdr:spPr>
        <a:xfrm>
          <a:off x="177147" y="16708616"/>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No.92,93</a:t>
          </a:r>
          <a:endParaRPr kumimoji="1" lang="ja-JP" altLang="en-US" sz="1100"/>
        </a:p>
      </xdr:txBody>
    </xdr:sp>
    <xdr:clientData/>
  </xdr:twoCellAnchor>
  <xdr:twoCellAnchor>
    <xdr:from>
      <xdr:col>0</xdr:col>
      <xdr:colOff>172432</xdr:colOff>
      <xdr:row>102</xdr:row>
      <xdr:rowOff>40062</xdr:rowOff>
    </xdr:from>
    <xdr:to>
      <xdr:col>2</xdr:col>
      <xdr:colOff>614315</xdr:colOff>
      <xdr:row>106</xdr:row>
      <xdr:rowOff>14926</xdr:rowOff>
    </xdr:to>
    <xdr:sp macro="" textlink="">
      <xdr:nvSpPr>
        <xdr:cNvPr id="69" name="テキスト ボックス 68"/>
        <xdr:cNvSpPr txBox="1"/>
      </xdr:nvSpPr>
      <xdr:spPr>
        <a:xfrm>
          <a:off x="172432" y="17067227"/>
          <a:ext cx="1796986" cy="6425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H/S</a:t>
          </a:r>
          <a:r>
            <a:rPr kumimoji="1" lang="ja-JP" altLang="en-US" sz="1100"/>
            <a:t>ができるのを待って</a:t>
          </a:r>
          <a:r>
            <a:rPr kumimoji="1" lang="en-US" altLang="ja-JP" sz="1100"/>
            <a:t>IN</a:t>
          </a:r>
        </a:p>
        <a:p>
          <a:r>
            <a:rPr kumimoji="1" lang="ja-JP" altLang="en-US" sz="1100"/>
            <a:t>エントリーポイントを２回に分けてみた</a:t>
          </a:r>
          <a:endParaRPr kumimoji="1" lang="en-US" altLang="ja-JP" sz="1100"/>
        </a:p>
      </xdr:txBody>
    </xdr:sp>
    <xdr:clientData/>
  </xdr:twoCellAnchor>
  <xdr:twoCellAnchor>
    <xdr:from>
      <xdr:col>8</xdr:col>
      <xdr:colOff>280448</xdr:colOff>
      <xdr:row>113</xdr:row>
      <xdr:rowOff>15317</xdr:rowOff>
    </xdr:from>
    <xdr:to>
      <xdr:col>10</xdr:col>
      <xdr:colOff>69131</xdr:colOff>
      <xdr:row>116</xdr:row>
      <xdr:rowOff>54595</xdr:rowOff>
    </xdr:to>
    <xdr:sp macro="" textlink="">
      <xdr:nvSpPr>
        <xdr:cNvPr id="70" name="角丸四角形吹き出し 69"/>
        <xdr:cNvSpPr/>
      </xdr:nvSpPr>
      <xdr:spPr>
        <a:xfrm>
          <a:off x="5700860" y="18878745"/>
          <a:ext cx="1143786" cy="540077"/>
        </a:xfrm>
        <a:prstGeom prst="wedgeRoundRectCallout">
          <a:avLst>
            <a:gd name="adj1" fmla="val 76432"/>
            <a:gd name="adj2" fmla="val -13729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１</a:t>
          </a:r>
          <a:r>
            <a:rPr kumimoji="1" lang="en-US" altLang="ja-JP" sz="1100"/>
            <a:t>H</a:t>
          </a:r>
          <a:r>
            <a:rPr kumimoji="1" lang="ja-JP" altLang="en-US" sz="1100"/>
            <a:t>での直近安値下抜きで</a:t>
          </a:r>
          <a:r>
            <a:rPr kumimoji="1" lang="en-US" altLang="ja-JP" sz="1100"/>
            <a:t>IN</a:t>
          </a:r>
          <a:endParaRPr kumimoji="1" lang="ja-JP" altLang="en-US" sz="1100"/>
        </a:p>
      </xdr:txBody>
    </xdr:sp>
    <xdr:clientData/>
  </xdr:twoCellAnchor>
  <xdr:twoCellAnchor>
    <xdr:from>
      <xdr:col>10</xdr:col>
      <xdr:colOff>20424</xdr:colOff>
      <xdr:row>100</xdr:row>
      <xdr:rowOff>138259</xdr:rowOff>
    </xdr:from>
    <xdr:to>
      <xdr:col>11</xdr:col>
      <xdr:colOff>486658</xdr:colOff>
      <xdr:row>104</xdr:row>
      <xdr:rowOff>10604</xdr:rowOff>
    </xdr:to>
    <xdr:sp macro="" textlink="">
      <xdr:nvSpPr>
        <xdr:cNvPr id="71" name="角丸四角形吹き出し 70"/>
        <xdr:cNvSpPr/>
      </xdr:nvSpPr>
      <xdr:spPr>
        <a:xfrm>
          <a:off x="6795939" y="16831558"/>
          <a:ext cx="1143786" cy="540077"/>
        </a:xfrm>
        <a:prstGeom prst="wedgeRoundRectCallout">
          <a:avLst>
            <a:gd name="adj1" fmla="val -31741"/>
            <a:gd name="adj2" fmla="val 14816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IN</a:t>
          </a:r>
          <a:endParaRPr kumimoji="1" lang="ja-JP" altLang="en-US" sz="1100"/>
        </a:p>
      </xdr:txBody>
    </xdr:sp>
    <xdr:clientData/>
  </xdr:twoCellAnchor>
  <xdr:twoCellAnchor>
    <xdr:from>
      <xdr:col>7</xdr:col>
      <xdr:colOff>230957</xdr:colOff>
      <xdr:row>110</xdr:row>
      <xdr:rowOff>14926</xdr:rowOff>
    </xdr:from>
    <xdr:to>
      <xdr:col>11</xdr:col>
      <xdr:colOff>216031</xdr:colOff>
      <xdr:row>110</xdr:row>
      <xdr:rowOff>19639</xdr:rowOff>
    </xdr:to>
    <xdr:cxnSp macro="">
      <xdr:nvCxnSpPr>
        <xdr:cNvPr id="72" name="直線コネクタ 71"/>
        <xdr:cNvCxnSpPr/>
      </xdr:nvCxnSpPr>
      <xdr:spPr>
        <a:xfrm>
          <a:off x="4973818" y="18377555"/>
          <a:ext cx="2695280" cy="4713"/>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575426</xdr:colOff>
      <xdr:row>111</xdr:row>
      <xdr:rowOff>104086</xdr:rowOff>
    </xdr:from>
    <xdr:to>
      <xdr:col>14</xdr:col>
      <xdr:colOff>364109</xdr:colOff>
      <xdr:row>115</xdr:row>
      <xdr:rowOff>49098</xdr:rowOff>
    </xdr:to>
    <xdr:sp macro="" textlink="">
      <xdr:nvSpPr>
        <xdr:cNvPr id="74" name="角丸四角形吹き出し 73"/>
        <xdr:cNvSpPr/>
      </xdr:nvSpPr>
      <xdr:spPr>
        <a:xfrm>
          <a:off x="8706045" y="18633648"/>
          <a:ext cx="1143786" cy="612744"/>
        </a:xfrm>
        <a:prstGeom prst="wedgeRoundRectCallout">
          <a:avLst>
            <a:gd name="adj1" fmla="val -80676"/>
            <a:gd name="adj2" fmla="val -11001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ブーメランで戻ってきてストップ</a:t>
          </a:r>
        </a:p>
      </xdr:txBody>
    </xdr:sp>
    <xdr:clientData/>
  </xdr:twoCellAnchor>
  <xdr:twoCellAnchor>
    <xdr:from>
      <xdr:col>0</xdr:col>
      <xdr:colOff>162615</xdr:colOff>
      <xdr:row>133</xdr:row>
      <xdr:rowOff>10603</xdr:rowOff>
    </xdr:from>
    <xdr:to>
      <xdr:col>1</xdr:col>
      <xdr:colOff>280054</xdr:colOff>
      <xdr:row>134</xdr:row>
      <xdr:rowOff>108799</xdr:rowOff>
    </xdr:to>
    <xdr:sp macro="" textlink="">
      <xdr:nvSpPr>
        <xdr:cNvPr id="75" name="テキスト ボックス 74"/>
        <xdr:cNvSpPr txBox="1"/>
      </xdr:nvSpPr>
      <xdr:spPr>
        <a:xfrm>
          <a:off x="162615" y="22212691"/>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No.94､95</a:t>
          </a:r>
          <a:endParaRPr kumimoji="1" lang="ja-JP" altLang="en-US" sz="1100"/>
        </a:p>
      </xdr:txBody>
    </xdr:sp>
    <xdr:clientData/>
  </xdr:twoCellAnchor>
  <xdr:twoCellAnchor>
    <xdr:from>
      <xdr:col>0</xdr:col>
      <xdr:colOff>157900</xdr:colOff>
      <xdr:row>135</xdr:row>
      <xdr:rowOff>35348</xdr:rowOff>
    </xdr:from>
    <xdr:to>
      <xdr:col>2</xdr:col>
      <xdr:colOff>599783</xdr:colOff>
      <xdr:row>139</xdr:row>
      <xdr:rowOff>19640</xdr:rowOff>
    </xdr:to>
    <xdr:sp macro="" textlink="">
      <xdr:nvSpPr>
        <xdr:cNvPr id="76" name="テキスト ボックス 75"/>
        <xdr:cNvSpPr txBox="1"/>
      </xdr:nvSpPr>
      <xdr:spPr>
        <a:xfrm>
          <a:off x="157900" y="22571302"/>
          <a:ext cx="1796986" cy="652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戻りの無い相場→４</a:t>
          </a:r>
          <a:r>
            <a:rPr kumimoji="1" lang="en-US" altLang="ja-JP" sz="1100"/>
            <a:t>H</a:t>
          </a:r>
          <a:r>
            <a:rPr kumimoji="1" lang="ja-JP" altLang="en-US" sz="1100"/>
            <a:t>足で</a:t>
          </a:r>
          <a:r>
            <a:rPr kumimoji="1" lang="en-US" altLang="ja-JP" sz="1100"/>
            <a:t>D/J</a:t>
          </a:r>
          <a:r>
            <a:rPr kumimoji="1" lang="ja-JP" altLang="en-US" sz="1100"/>
            <a:t>＋</a:t>
          </a:r>
          <a:r>
            <a:rPr kumimoji="1" lang="en-US" altLang="ja-JP" sz="1100"/>
            <a:t>W</a:t>
          </a:r>
          <a:r>
            <a:rPr kumimoji="1" lang="ja-JP" altLang="en-US" sz="1100"/>
            <a:t>ボトムと見て買いタイミングを探った</a:t>
          </a:r>
          <a:endParaRPr kumimoji="1" lang="en-US" altLang="ja-JP" sz="1100"/>
        </a:p>
      </xdr:txBody>
    </xdr:sp>
    <xdr:clientData/>
  </xdr:twoCellAnchor>
  <xdr:twoCellAnchor>
    <xdr:from>
      <xdr:col>4</xdr:col>
      <xdr:colOff>216031</xdr:colOff>
      <xdr:row>148</xdr:row>
      <xdr:rowOff>58919</xdr:rowOff>
    </xdr:from>
    <xdr:to>
      <xdr:col>6</xdr:col>
      <xdr:colOff>44778</xdr:colOff>
      <xdr:row>151</xdr:row>
      <xdr:rowOff>30244</xdr:rowOff>
    </xdr:to>
    <xdr:sp macro="" textlink="">
      <xdr:nvSpPr>
        <xdr:cNvPr id="77" name="角丸四角形吹き出し 76"/>
        <xdr:cNvSpPr/>
      </xdr:nvSpPr>
      <xdr:spPr>
        <a:xfrm>
          <a:off x="2926237" y="24765001"/>
          <a:ext cx="1183850" cy="472124"/>
        </a:xfrm>
        <a:prstGeom prst="wedgeRoundRectCallout">
          <a:avLst>
            <a:gd name="adj1" fmla="val 79779"/>
            <a:gd name="adj2" fmla="val -5033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ココを</a:t>
          </a:r>
          <a:r>
            <a:rPr kumimoji="1" lang="en-US" altLang="ja-JP" sz="1100"/>
            <a:t>S/R</a:t>
          </a:r>
          <a:r>
            <a:rPr kumimoji="1" lang="ja-JP" altLang="en-US" sz="1100"/>
            <a:t>と見た</a:t>
          </a:r>
        </a:p>
      </xdr:txBody>
    </xdr:sp>
    <xdr:clientData/>
  </xdr:twoCellAnchor>
  <xdr:twoCellAnchor>
    <xdr:from>
      <xdr:col>6</xdr:col>
      <xdr:colOff>128048</xdr:colOff>
      <xdr:row>148</xdr:row>
      <xdr:rowOff>29852</xdr:rowOff>
    </xdr:from>
    <xdr:to>
      <xdr:col>10</xdr:col>
      <xdr:colOff>113122</xdr:colOff>
      <xdr:row>148</xdr:row>
      <xdr:rowOff>34565</xdr:rowOff>
    </xdr:to>
    <xdr:cxnSp macro="">
      <xdr:nvCxnSpPr>
        <xdr:cNvPr id="78" name="直線コネクタ 77"/>
        <xdr:cNvCxnSpPr/>
      </xdr:nvCxnSpPr>
      <xdr:spPr>
        <a:xfrm>
          <a:off x="4193357" y="24735934"/>
          <a:ext cx="2695280" cy="4713"/>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397889</xdr:colOff>
      <xdr:row>140</xdr:row>
      <xdr:rowOff>83663</xdr:rowOff>
    </xdr:from>
    <xdr:to>
      <xdr:col>11</xdr:col>
      <xdr:colOff>226636</xdr:colOff>
      <xdr:row>143</xdr:row>
      <xdr:rowOff>54988</xdr:rowOff>
    </xdr:to>
    <xdr:sp macro="" textlink="">
      <xdr:nvSpPr>
        <xdr:cNvPr id="79" name="角丸四角形吹き出し 78"/>
        <xdr:cNvSpPr/>
      </xdr:nvSpPr>
      <xdr:spPr>
        <a:xfrm>
          <a:off x="6495853" y="23454282"/>
          <a:ext cx="1183850" cy="472124"/>
        </a:xfrm>
        <a:prstGeom prst="wedgeRoundRectCallout">
          <a:avLst>
            <a:gd name="adj1" fmla="val 15080"/>
            <a:gd name="adj2" fmla="val 13477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EB</a:t>
          </a:r>
          <a:r>
            <a:rPr kumimoji="1" lang="ja-JP" altLang="en-US" sz="1100"/>
            <a:t>→</a:t>
          </a:r>
          <a:r>
            <a:rPr kumimoji="1" lang="en-US" altLang="ja-JP" sz="1100"/>
            <a:t>PB</a:t>
          </a:r>
          <a:r>
            <a:rPr kumimoji="1" lang="ja-JP" altLang="en-US" sz="1100"/>
            <a:t>上抜きで</a:t>
          </a:r>
          <a:r>
            <a:rPr kumimoji="1" lang="en-US" altLang="ja-JP" sz="1100"/>
            <a:t>IN</a:t>
          </a:r>
          <a:endParaRPr kumimoji="1" lang="ja-JP" altLang="en-US" sz="1100"/>
        </a:p>
      </xdr:txBody>
    </xdr:sp>
    <xdr:clientData/>
  </xdr:twoCellAnchor>
  <xdr:twoCellAnchor>
    <xdr:from>
      <xdr:col>10</xdr:col>
      <xdr:colOff>294980</xdr:colOff>
      <xdr:row>148</xdr:row>
      <xdr:rowOff>147687</xdr:rowOff>
    </xdr:from>
    <xdr:to>
      <xdr:col>11</xdr:col>
      <xdr:colOff>520438</xdr:colOff>
      <xdr:row>150</xdr:row>
      <xdr:rowOff>147294</xdr:rowOff>
    </xdr:to>
    <xdr:sp macro="" textlink="">
      <xdr:nvSpPr>
        <xdr:cNvPr id="80" name="角丸四角形吹き出し 79"/>
        <xdr:cNvSpPr/>
      </xdr:nvSpPr>
      <xdr:spPr>
        <a:xfrm>
          <a:off x="7070495" y="24853769"/>
          <a:ext cx="903010" cy="333473"/>
        </a:xfrm>
        <a:prstGeom prst="wedgeRoundRectCallout">
          <a:avLst>
            <a:gd name="adj1" fmla="val 42853"/>
            <a:gd name="adj2" fmla="val -12518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197180</xdr:colOff>
      <xdr:row>166</xdr:row>
      <xdr:rowOff>5891</xdr:rowOff>
    </xdr:from>
    <xdr:to>
      <xdr:col>1</xdr:col>
      <xdr:colOff>314619</xdr:colOff>
      <xdr:row>167</xdr:row>
      <xdr:rowOff>104087</xdr:rowOff>
    </xdr:to>
    <xdr:sp macro="" textlink="">
      <xdr:nvSpPr>
        <xdr:cNvPr id="81" name="テキスト ボックス 80"/>
        <xdr:cNvSpPr txBox="1"/>
      </xdr:nvSpPr>
      <xdr:spPr>
        <a:xfrm>
          <a:off x="197180" y="27716767"/>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No.96</a:t>
          </a:r>
          <a:endParaRPr kumimoji="1" lang="ja-JP" altLang="en-US" sz="1100"/>
        </a:p>
      </xdr:txBody>
    </xdr:sp>
    <xdr:clientData/>
  </xdr:twoCellAnchor>
  <xdr:twoCellAnchor>
    <xdr:from>
      <xdr:col>0</xdr:col>
      <xdr:colOff>192465</xdr:colOff>
      <xdr:row>168</xdr:row>
      <xdr:rowOff>30636</xdr:rowOff>
    </xdr:from>
    <xdr:to>
      <xdr:col>2</xdr:col>
      <xdr:colOff>634348</xdr:colOff>
      <xdr:row>172</xdr:row>
      <xdr:rowOff>147294</xdr:rowOff>
    </xdr:to>
    <xdr:sp macro="" textlink="">
      <xdr:nvSpPr>
        <xdr:cNvPr id="82" name="テキスト ボックス 81"/>
        <xdr:cNvSpPr txBox="1"/>
      </xdr:nvSpPr>
      <xdr:spPr>
        <a:xfrm>
          <a:off x="192465" y="28075378"/>
          <a:ext cx="1796986" cy="7843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継続のチャートパターンで更に少し下げた後上がると予想。短期での売りを狙った。</a:t>
          </a:r>
        </a:p>
      </xdr:txBody>
    </xdr:sp>
    <xdr:clientData/>
  </xdr:twoCellAnchor>
  <xdr:twoCellAnchor>
    <xdr:from>
      <xdr:col>11</xdr:col>
      <xdr:colOff>181860</xdr:colOff>
      <xdr:row>177</xdr:row>
      <xdr:rowOff>34567</xdr:rowOff>
    </xdr:from>
    <xdr:to>
      <xdr:col>13</xdr:col>
      <xdr:colOff>176753</xdr:colOff>
      <xdr:row>180</xdr:row>
      <xdr:rowOff>29460</xdr:rowOff>
    </xdr:to>
    <xdr:sp macro="" textlink="">
      <xdr:nvSpPr>
        <xdr:cNvPr id="83" name="角丸四角形吹き出し 82"/>
        <xdr:cNvSpPr/>
      </xdr:nvSpPr>
      <xdr:spPr>
        <a:xfrm>
          <a:off x="7634927" y="29581706"/>
          <a:ext cx="1349996" cy="495692"/>
        </a:xfrm>
        <a:prstGeom prst="wedgeRoundRectCallout">
          <a:avLst>
            <a:gd name="adj1" fmla="val 60025"/>
            <a:gd name="adj2" fmla="val -13501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意識されている直近安値下抜きで</a:t>
          </a:r>
          <a:r>
            <a:rPr kumimoji="1" lang="en-US" altLang="ja-JP" sz="1100"/>
            <a:t>IN</a:t>
          </a:r>
          <a:endParaRPr kumimoji="1" lang="ja-JP" altLang="en-US" sz="1100"/>
        </a:p>
      </xdr:txBody>
    </xdr:sp>
    <xdr:clientData/>
  </xdr:twoCellAnchor>
  <xdr:twoCellAnchor>
    <xdr:from>
      <xdr:col>13</xdr:col>
      <xdr:colOff>137867</xdr:colOff>
      <xdr:row>140</xdr:row>
      <xdr:rowOff>137868</xdr:rowOff>
    </xdr:from>
    <xdr:to>
      <xdr:col>14</xdr:col>
      <xdr:colOff>644165</xdr:colOff>
      <xdr:row>143</xdr:row>
      <xdr:rowOff>109193</xdr:rowOff>
    </xdr:to>
    <xdr:sp macro="" textlink="">
      <xdr:nvSpPr>
        <xdr:cNvPr id="84" name="角丸四角形吹き出し 83"/>
        <xdr:cNvSpPr/>
      </xdr:nvSpPr>
      <xdr:spPr>
        <a:xfrm>
          <a:off x="8946037" y="23508487"/>
          <a:ext cx="1183850" cy="472124"/>
        </a:xfrm>
        <a:prstGeom prst="wedgeRoundRectCallout">
          <a:avLst>
            <a:gd name="adj1" fmla="val 15080"/>
            <a:gd name="adj2" fmla="val 13477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直近高値上抜きで</a:t>
          </a:r>
          <a:r>
            <a:rPr kumimoji="1" lang="en-US" altLang="ja-JP" sz="1100"/>
            <a:t>IN</a:t>
          </a:r>
          <a:endParaRPr kumimoji="1" lang="ja-JP" altLang="en-US" sz="1100"/>
        </a:p>
      </xdr:txBody>
    </xdr:sp>
    <xdr:clientData/>
  </xdr:twoCellAnchor>
  <xdr:twoCellAnchor>
    <xdr:from>
      <xdr:col>13</xdr:col>
      <xdr:colOff>565215</xdr:colOff>
      <xdr:row>151</xdr:row>
      <xdr:rowOff>93876</xdr:rowOff>
    </xdr:from>
    <xdr:to>
      <xdr:col>15</xdr:col>
      <xdr:colOff>113122</xdr:colOff>
      <xdr:row>153</xdr:row>
      <xdr:rowOff>93483</xdr:rowOff>
    </xdr:to>
    <xdr:sp macro="" textlink="">
      <xdr:nvSpPr>
        <xdr:cNvPr id="85" name="角丸四角形吹き出し 84"/>
        <xdr:cNvSpPr/>
      </xdr:nvSpPr>
      <xdr:spPr>
        <a:xfrm>
          <a:off x="9373385" y="25300757"/>
          <a:ext cx="903010" cy="333473"/>
        </a:xfrm>
        <a:prstGeom prst="wedgeRoundRectCallout">
          <a:avLst>
            <a:gd name="adj1" fmla="val 42853"/>
            <a:gd name="adj2" fmla="val -12518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11</xdr:col>
      <xdr:colOff>653592</xdr:colOff>
      <xdr:row>146</xdr:row>
      <xdr:rowOff>103696</xdr:rowOff>
    </xdr:from>
    <xdr:to>
      <xdr:col>15</xdr:col>
      <xdr:colOff>638666</xdr:colOff>
      <xdr:row>146</xdr:row>
      <xdr:rowOff>108409</xdr:rowOff>
    </xdr:to>
    <xdr:cxnSp macro="">
      <xdr:nvCxnSpPr>
        <xdr:cNvPr id="86" name="直線コネクタ 85"/>
        <xdr:cNvCxnSpPr/>
      </xdr:nvCxnSpPr>
      <xdr:spPr>
        <a:xfrm>
          <a:off x="8106659" y="24475912"/>
          <a:ext cx="2695280" cy="4713"/>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500799</xdr:colOff>
      <xdr:row>155</xdr:row>
      <xdr:rowOff>0</xdr:rowOff>
    </xdr:from>
    <xdr:to>
      <xdr:col>9</xdr:col>
      <xdr:colOff>490979</xdr:colOff>
      <xdr:row>159</xdr:row>
      <xdr:rowOff>108016</xdr:rowOff>
    </xdr:to>
    <xdr:cxnSp macro="">
      <xdr:nvCxnSpPr>
        <xdr:cNvPr id="89" name="直線矢印コネクタ 88"/>
        <xdr:cNvCxnSpPr/>
      </xdr:nvCxnSpPr>
      <xdr:spPr>
        <a:xfrm flipV="1">
          <a:off x="4566108" y="25874613"/>
          <a:ext cx="2022835" cy="775748"/>
        </a:xfrm>
        <a:prstGeom prst="straightConnector1">
          <a:avLst/>
        </a:prstGeom>
        <a:ln w="381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122940</xdr:colOff>
      <xdr:row>144</xdr:row>
      <xdr:rowOff>54203</xdr:rowOff>
    </xdr:from>
    <xdr:to>
      <xdr:col>9</xdr:col>
      <xdr:colOff>500798</xdr:colOff>
      <xdr:row>145</xdr:row>
      <xdr:rowOff>49097</xdr:rowOff>
    </xdr:to>
    <xdr:cxnSp macro="">
      <xdr:nvCxnSpPr>
        <xdr:cNvPr id="90" name="直線矢印コネクタ 89"/>
        <xdr:cNvCxnSpPr/>
      </xdr:nvCxnSpPr>
      <xdr:spPr>
        <a:xfrm>
          <a:off x="4188249" y="24092554"/>
          <a:ext cx="2410513" cy="161827"/>
        </a:xfrm>
        <a:prstGeom prst="straightConnector1">
          <a:avLst/>
        </a:prstGeom>
        <a:ln w="381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500798</xdr:colOff>
      <xdr:row>155</xdr:row>
      <xdr:rowOff>137474</xdr:rowOff>
    </xdr:from>
    <xdr:to>
      <xdr:col>7</xdr:col>
      <xdr:colOff>481945</xdr:colOff>
      <xdr:row>157</xdr:row>
      <xdr:rowOff>45169</xdr:rowOff>
    </xdr:to>
    <xdr:sp macro="" textlink="">
      <xdr:nvSpPr>
        <xdr:cNvPr id="92" name="角丸四角形吹き出し 91"/>
        <xdr:cNvSpPr/>
      </xdr:nvSpPr>
      <xdr:spPr>
        <a:xfrm>
          <a:off x="4566107" y="26012087"/>
          <a:ext cx="658699" cy="241561"/>
        </a:xfrm>
        <a:prstGeom prst="wedgeRoundRectCallout">
          <a:avLst>
            <a:gd name="adj1" fmla="val 93375"/>
            <a:gd name="adj2" fmla="val 4704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endParaRPr kumimoji="1" lang="ja-JP" altLang="en-US" sz="1100"/>
        </a:p>
      </xdr:txBody>
    </xdr:sp>
    <xdr:clientData/>
  </xdr:twoCellAnchor>
  <xdr:twoCellAnchor>
    <xdr:from>
      <xdr:col>11</xdr:col>
      <xdr:colOff>368825</xdr:colOff>
      <xdr:row>174</xdr:row>
      <xdr:rowOff>84056</xdr:rowOff>
    </xdr:from>
    <xdr:to>
      <xdr:col>15</xdr:col>
      <xdr:colOff>353899</xdr:colOff>
      <xdr:row>174</xdr:row>
      <xdr:rowOff>88769</xdr:rowOff>
    </xdr:to>
    <xdr:cxnSp macro="">
      <xdr:nvCxnSpPr>
        <xdr:cNvPr id="93" name="直線コネクタ 92"/>
        <xdr:cNvCxnSpPr/>
      </xdr:nvCxnSpPr>
      <xdr:spPr>
        <a:xfrm>
          <a:off x="7821892" y="29130396"/>
          <a:ext cx="2695280" cy="4713"/>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422637</xdr:colOff>
      <xdr:row>178</xdr:row>
      <xdr:rowOff>49492</xdr:rowOff>
    </xdr:from>
    <xdr:to>
      <xdr:col>15</xdr:col>
      <xdr:colOff>417530</xdr:colOff>
      <xdr:row>181</xdr:row>
      <xdr:rowOff>44385</xdr:rowOff>
    </xdr:to>
    <xdr:sp macro="" textlink="">
      <xdr:nvSpPr>
        <xdr:cNvPr id="94" name="角丸四角形吹き出し 93"/>
        <xdr:cNvSpPr/>
      </xdr:nvSpPr>
      <xdr:spPr>
        <a:xfrm>
          <a:off x="9230807" y="29763564"/>
          <a:ext cx="1349996" cy="495692"/>
        </a:xfrm>
        <a:prstGeom prst="wedgeRoundRectCallout">
          <a:avLst>
            <a:gd name="adj1" fmla="val -46172"/>
            <a:gd name="adj2" fmla="val -14888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指標発表前にダウ反転でストップ</a:t>
          </a:r>
        </a:p>
      </xdr:txBody>
    </xdr:sp>
    <xdr:clientData/>
  </xdr:twoCellAnchor>
  <xdr:twoCellAnchor>
    <xdr:from>
      <xdr:col>14</xdr:col>
      <xdr:colOff>270630</xdr:colOff>
      <xdr:row>170</xdr:row>
      <xdr:rowOff>142975</xdr:rowOff>
    </xdr:from>
    <xdr:to>
      <xdr:col>16</xdr:col>
      <xdr:colOff>265523</xdr:colOff>
      <xdr:row>173</xdr:row>
      <xdr:rowOff>137868</xdr:rowOff>
    </xdr:to>
    <xdr:sp macro="" textlink="">
      <xdr:nvSpPr>
        <xdr:cNvPr id="95" name="角丸四角形吹き出し 94"/>
        <xdr:cNvSpPr/>
      </xdr:nvSpPr>
      <xdr:spPr>
        <a:xfrm>
          <a:off x="9756352" y="28521583"/>
          <a:ext cx="1349996" cy="495692"/>
        </a:xfrm>
        <a:prstGeom prst="wedgeRoundRectCallout">
          <a:avLst>
            <a:gd name="adj1" fmla="val -79631"/>
            <a:gd name="adj2" fmla="val 2148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予想どーり相場転換したっぽい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tabColor rgb="FFFFC000"/>
  </sheetPr>
  <dimension ref="A1:L4"/>
  <sheetViews>
    <sheetView zoomScaleSheetLayoutView="100" workbookViewId="0">
      <selection activeCell="B1" sqref="B1"/>
    </sheetView>
  </sheetViews>
  <sheetFormatPr defaultColWidth="10" defaultRowHeight="13.5" customHeight="1"/>
  <cols>
    <col min="1" max="1" width="3.875" customWidth="1"/>
    <col min="2" max="2" width="23.5" style="156"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149" t="s">
        <v>68</v>
      </c>
      <c r="B1" s="150" t="s">
        <v>329</v>
      </c>
      <c r="C1" s="151" t="s">
        <v>317</v>
      </c>
      <c r="D1" s="262" t="s">
        <v>318</v>
      </c>
      <c r="E1" s="262"/>
      <c r="F1" s="262"/>
      <c r="G1" s="262"/>
      <c r="H1" s="262"/>
      <c r="I1" s="262"/>
      <c r="J1" s="262"/>
      <c r="K1" s="262"/>
      <c r="L1" s="262"/>
    </row>
    <row r="2" spans="1:12" ht="29.25" customHeight="1">
      <c r="A2" s="152">
        <v>1</v>
      </c>
      <c r="B2" s="153" t="s">
        <v>319</v>
      </c>
      <c r="C2" s="153" t="s">
        <v>320</v>
      </c>
      <c r="D2" s="263" t="s">
        <v>321</v>
      </c>
      <c r="E2" s="264"/>
      <c r="F2" s="264"/>
      <c r="G2" s="264"/>
      <c r="H2" s="264"/>
      <c r="I2" s="264"/>
      <c r="J2" s="264"/>
      <c r="K2" s="264"/>
      <c r="L2" s="264"/>
    </row>
    <row r="3" spans="1:12" ht="127.5" customHeight="1">
      <c r="A3" s="190">
        <v>2</v>
      </c>
      <c r="B3" s="155" t="s">
        <v>322</v>
      </c>
      <c r="C3" s="155" t="s">
        <v>323</v>
      </c>
      <c r="D3" s="265" t="s">
        <v>324</v>
      </c>
      <c r="E3" s="266"/>
      <c r="F3" s="266"/>
      <c r="G3" s="266"/>
      <c r="H3" s="266"/>
      <c r="I3" s="266"/>
      <c r="J3" s="266"/>
      <c r="K3" s="266"/>
      <c r="L3" s="266"/>
    </row>
    <row r="4" spans="1:12" ht="80.25" customHeight="1">
      <c r="A4" s="154">
        <v>3</v>
      </c>
      <c r="B4" s="155" t="s">
        <v>322</v>
      </c>
      <c r="C4" s="155" t="s">
        <v>330</v>
      </c>
      <c r="D4" s="267" t="s">
        <v>380</v>
      </c>
      <c r="E4" s="266"/>
      <c r="F4" s="266"/>
      <c r="G4" s="266"/>
      <c r="H4" s="266"/>
      <c r="I4" s="266"/>
      <c r="J4" s="266"/>
      <c r="K4" s="266"/>
      <c r="L4" s="266"/>
    </row>
  </sheetData>
  <mergeCells count="4">
    <mergeCell ref="D1:L1"/>
    <mergeCell ref="D2:L2"/>
    <mergeCell ref="D3:L3"/>
    <mergeCell ref="D4:L4"/>
  </mergeCells>
  <phoneticPr fontId="2"/>
  <pageMargins left="0.69861111111111107" right="0.69861111111111107" top="0.75" bottom="0.75" header="0.3" footer="0.3"/>
  <pageSetup paperSize="9" firstPageNumber="4294963191"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sheetPr codeName="Sheet2">
    <tabColor rgb="FFFFC000"/>
  </sheetPr>
  <dimension ref="A1:R203"/>
  <sheetViews>
    <sheetView zoomScaleSheetLayoutView="100" workbookViewId="0">
      <pane ySplit="1" topLeftCell="A123" activePane="bottomLeft" state="frozen"/>
      <selection pane="bottomLeft" activeCell="E124" sqref="E124"/>
    </sheetView>
  </sheetViews>
  <sheetFormatPr defaultColWidth="10" defaultRowHeight="13.5" customHeight="1"/>
  <cols>
    <col min="1" max="1" width="3.75" customWidth="1"/>
    <col min="2" max="2" width="11.625" style="2" customWidth="1"/>
    <col min="3" max="3" width="5.375" customWidth="1"/>
    <col min="4" max="4" width="6.75" customWidth="1"/>
    <col min="5" max="5" width="15.25" style="67" customWidth="1"/>
    <col min="6" max="6" width="8.5" customWidth="1"/>
    <col min="7" max="7" width="12.75" style="65" customWidth="1"/>
    <col min="8" max="8" width="13.5" customWidth="1"/>
    <col min="9" max="9" width="4" customWidth="1"/>
    <col min="10" max="10" width="12.125" style="66" customWidth="1"/>
    <col min="12" max="12" width="10.875" style="67" customWidth="1"/>
    <col min="13" max="13" width="6.125" customWidth="1"/>
    <col min="14" max="15" width="8.125" style="69" customWidth="1"/>
    <col min="16" max="16" width="9.375" customWidth="1"/>
    <col min="17" max="17" width="10.25" style="71" customWidth="1"/>
    <col min="18" max="18" width="11.625" hidden="1" customWidth="1"/>
  </cols>
  <sheetData>
    <row r="1" spans="1:18" ht="14.25" thickBot="1">
      <c r="A1" s="17" t="s">
        <v>68</v>
      </c>
      <c r="B1" s="18" t="s">
        <v>69</v>
      </c>
      <c r="C1" s="19" t="s">
        <v>70</v>
      </c>
      <c r="D1" s="19" t="s">
        <v>71</v>
      </c>
      <c r="E1" s="20" t="s">
        <v>72</v>
      </c>
      <c r="F1" s="19" t="s">
        <v>73</v>
      </c>
      <c r="G1" s="21" t="s">
        <v>74</v>
      </c>
      <c r="H1" s="19" t="s">
        <v>75</v>
      </c>
      <c r="I1" s="19" t="s">
        <v>76</v>
      </c>
      <c r="J1" s="21" t="s">
        <v>77</v>
      </c>
      <c r="K1" s="19" t="s">
        <v>78</v>
      </c>
      <c r="L1" s="20" t="s">
        <v>79</v>
      </c>
      <c r="M1" s="19" t="s">
        <v>80</v>
      </c>
      <c r="N1" s="22" t="s">
        <v>81</v>
      </c>
      <c r="O1" s="23" t="s">
        <v>82</v>
      </c>
      <c r="P1" s="24" t="s">
        <v>83</v>
      </c>
      <c r="Q1" s="25" t="s">
        <v>84</v>
      </c>
    </row>
    <row r="2" spans="1:18" s="26" customFormat="1" ht="13.5" customHeight="1">
      <c r="A2" s="26">
        <v>1</v>
      </c>
      <c r="B2" s="27" t="s">
        <v>85</v>
      </c>
      <c r="C2" s="26" t="s">
        <v>86</v>
      </c>
      <c r="D2" s="26">
        <v>4</v>
      </c>
      <c r="E2" s="28" t="s">
        <v>87</v>
      </c>
      <c r="F2" s="26" t="s">
        <v>88</v>
      </c>
      <c r="G2" s="29" t="s">
        <v>89</v>
      </c>
      <c r="H2" s="26">
        <v>1.11131</v>
      </c>
      <c r="I2" s="26" t="s">
        <v>90</v>
      </c>
      <c r="J2" s="246" t="s">
        <v>91</v>
      </c>
      <c r="K2" s="26">
        <v>1.10673</v>
      </c>
      <c r="L2" s="28"/>
      <c r="M2" s="26" t="s">
        <v>506</v>
      </c>
      <c r="N2" s="30"/>
      <c r="O2" s="30">
        <v>-45.8</v>
      </c>
      <c r="P2" s="26">
        <v>-2309</v>
      </c>
      <c r="Q2" s="31">
        <v>997691</v>
      </c>
      <c r="R2" s="254">
        <f>IF(G2&lt;&gt;"",DATEVALUE(LEFT(G2,4)&amp;"/"&amp;MID(G2,6,2)&amp;"/"&amp;MID(G2,9,2)),"")</f>
        <v>42233</v>
      </c>
    </row>
    <row r="3" spans="1:18" s="26" customFormat="1">
      <c r="A3" s="26">
        <v>2</v>
      </c>
      <c r="B3" s="27" t="s">
        <v>93</v>
      </c>
      <c r="C3" s="26" t="s">
        <v>86</v>
      </c>
      <c r="D3" s="26">
        <v>29</v>
      </c>
      <c r="E3" s="28" t="s">
        <v>94</v>
      </c>
      <c r="F3" s="26" t="s">
        <v>95</v>
      </c>
      <c r="G3" s="29" t="s">
        <v>96</v>
      </c>
      <c r="H3" s="26">
        <v>0.71153</v>
      </c>
      <c r="J3" s="246" t="s">
        <v>97</v>
      </c>
      <c r="K3" s="26">
        <v>0.70628000000000002</v>
      </c>
      <c r="L3" s="28"/>
      <c r="M3" s="26" t="s">
        <v>92</v>
      </c>
      <c r="N3" s="30"/>
      <c r="O3" s="32">
        <v>-52.5</v>
      </c>
      <c r="P3" s="26">
        <v>-29722</v>
      </c>
      <c r="Q3" s="31">
        <f>Q2+P3</f>
        <v>967969</v>
      </c>
      <c r="R3" s="254">
        <f t="shared" ref="R3:R66" si="0">IF(G3&lt;&gt;"",DATEVALUE(LEFT(G3,4)&amp;"/"&amp;MID(G3,6,2)&amp;"/"&amp;MID(G3,9,2)),"")</f>
        <v>42234</v>
      </c>
    </row>
    <row r="4" spans="1:18" s="26" customFormat="1">
      <c r="A4" s="26">
        <v>3</v>
      </c>
      <c r="B4" s="27" t="s">
        <v>98</v>
      </c>
      <c r="C4" s="26" t="s">
        <v>99</v>
      </c>
      <c r="D4" s="26">
        <v>0.08</v>
      </c>
      <c r="E4" s="28" t="s">
        <v>100</v>
      </c>
      <c r="F4" s="26" t="s">
        <v>90</v>
      </c>
      <c r="G4" s="29" t="s">
        <v>101</v>
      </c>
      <c r="H4" s="26">
        <v>1.1048100000000001</v>
      </c>
      <c r="J4" s="246" t="s">
        <v>102</v>
      </c>
      <c r="K4" s="26">
        <v>1.1048100000000001</v>
      </c>
      <c r="L4" s="28" t="s">
        <v>103</v>
      </c>
      <c r="M4" s="26" t="s">
        <v>104</v>
      </c>
      <c r="N4" s="30"/>
      <c r="O4" s="32"/>
      <c r="P4" s="26">
        <v>-1333</v>
      </c>
      <c r="Q4" s="31">
        <f t="shared" ref="Q4:Q22" si="1">Q3+P4</f>
        <v>966636</v>
      </c>
      <c r="R4" s="254">
        <f t="shared" si="0"/>
        <v>42235</v>
      </c>
    </row>
    <row r="5" spans="1:18" s="26" customFormat="1">
      <c r="A5" s="26">
        <v>4</v>
      </c>
      <c r="B5" s="27" t="s">
        <v>105</v>
      </c>
      <c r="C5" s="26" t="s">
        <v>86</v>
      </c>
      <c r="D5" s="26">
        <v>0.08</v>
      </c>
      <c r="E5" s="28" t="s">
        <v>106</v>
      </c>
      <c r="F5" s="26" t="s">
        <v>107</v>
      </c>
      <c r="G5" s="29" t="s">
        <v>108</v>
      </c>
      <c r="H5" s="26">
        <v>0.66605000000000003</v>
      </c>
      <c r="J5" s="246" t="s">
        <v>109</v>
      </c>
      <c r="K5" s="26">
        <v>0.66603000000000001</v>
      </c>
      <c r="L5" s="28" t="s">
        <v>103</v>
      </c>
      <c r="M5" s="26" t="s">
        <v>104</v>
      </c>
      <c r="N5" s="30"/>
      <c r="O5" s="32"/>
      <c r="P5" s="26">
        <v>-29</v>
      </c>
      <c r="Q5" s="31">
        <f t="shared" si="1"/>
        <v>966607</v>
      </c>
      <c r="R5" s="254">
        <f t="shared" si="0"/>
        <v>42237</v>
      </c>
    </row>
    <row r="6" spans="1:18" s="26" customFormat="1">
      <c r="A6" s="26">
        <v>5</v>
      </c>
      <c r="B6" s="27" t="s">
        <v>110</v>
      </c>
      <c r="C6" s="26" t="s">
        <v>99</v>
      </c>
      <c r="D6" s="26">
        <v>0.93</v>
      </c>
      <c r="E6" s="28" t="s">
        <v>106</v>
      </c>
      <c r="F6" s="26" t="s">
        <v>88</v>
      </c>
      <c r="G6" s="29" t="s">
        <v>109</v>
      </c>
      <c r="H6" s="26">
        <v>128.56100000000001</v>
      </c>
      <c r="J6" s="246" t="s">
        <v>111</v>
      </c>
      <c r="K6" s="26">
        <v>128.76599999999999</v>
      </c>
      <c r="L6" s="28"/>
      <c r="M6" s="26" t="s">
        <v>92</v>
      </c>
      <c r="N6" s="30"/>
      <c r="O6" s="33">
        <v>-205</v>
      </c>
      <c r="P6" s="26">
        <v>-19430</v>
      </c>
      <c r="Q6" s="31">
        <f t="shared" si="1"/>
        <v>947177</v>
      </c>
      <c r="R6" s="254">
        <f t="shared" si="0"/>
        <v>42240</v>
      </c>
    </row>
    <row r="7" spans="1:18" s="26" customFormat="1">
      <c r="A7" s="26">
        <v>6</v>
      </c>
      <c r="B7" s="27" t="s">
        <v>112</v>
      </c>
      <c r="C7" s="26" t="s">
        <v>86</v>
      </c>
      <c r="D7" s="26">
        <v>0.1</v>
      </c>
      <c r="E7" s="28" t="s">
        <v>113</v>
      </c>
      <c r="F7" s="26" t="s">
        <v>107</v>
      </c>
      <c r="G7" s="29" t="s">
        <v>114</v>
      </c>
      <c r="H7" s="26">
        <v>138.85900000000001</v>
      </c>
      <c r="J7" s="246" t="s">
        <v>115</v>
      </c>
      <c r="K7" s="26">
        <v>136.977</v>
      </c>
      <c r="L7" s="28"/>
      <c r="M7" s="26" t="s">
        <v>92</v>
      </c>
      <c r="N7" s="30"/>
      <c r="O7" s="32">
        <v>-188.2</v>
      </c>
      <c r="P7" s="26">
        <v>-19050</v>
      </c>
      <c r="Q7" s="31">
        <f t="shared" si="1"/>
        <v>928127</v>
      </c>
      <c r="R7" s="254">
        <f t="shared" si="0"/>
        <v>42237</v>
      </c>
    </row>
    <row r="8" spans="1:18" s="26" customFormat="1">
      <c r="A8" s="26">
        <v>7</v>
      </c>
      <c r="B8" s="27" t="s">
        <v>116</v>
      </c>
      <c r="C8" s="26" t="s">
        <v>99</v>
      </c>
      <c r="D8" s="26">
        <v>0.49</v>
      </c>
      <c r="E8" s="28" t="s">
        <v>117</v>
      </c>
      <c r="F8" s="26" t="s">
        <v>118</v>
      </c>
      <c r="G8" s="29" t="s">
        <v>119</v>
      </c>
      <c r="H8" s="26">
        <v>0.64761000000000002</v>
      </c>
      <c r="J8" s="246" t="s">
        <v>120</v>
      </c>
      <c r="K8" s="26">
        <v>0.65056999999999998</v>
      </c>
      <c r="L8" s="28" t="s">
        <v>121</v>
      </c>
      <c r="M8" s="26" t="s">
        <v>92</v>
      </c>
      <c r="N8" s="30"/>
      <c r="O8" s="32">
        <v>-29.6</v>
      </c>
      <c r="P8" s="26">
        <v>-17439</v>
      </c>
      <c r="Q8" s="31">
        <f t="shared" si="1"/>
        <v>910688</v>
      </c>
      <c r="R8" s="254">
        <f t="shared" si="0"/>
        <v>42240</v>
      </c>
    </row>
    <row r="9" spans="1:18" s="26" customFormat="1">
      <c r="A9" s="26">
        <v>8</v>
      </c>
      <c r="B9" s="27" t="s">
        <v>93</v>
      </c>
      <c r="C9" s="26" t="s">
        <v>99</v>
      </c>
      <c r="D9" s="26">
        <v>0.59</v>
      </c>
      <c r="E9" s="28" t="s">
        <v>117</v>
      </c>
      <c r="F9" s="26" t="s">
        <v>90</v>
      </c>
      <c r="G9" s="29" t="s">
        <v>122</v>
      </c>
      <c r="H9" s="26">
        <v>0.73082000000000003</v>
      </c>
      <c r="J9" s="246" t="s">
        <v>123</v>
      </c>
      <c r="K9" s="26">
        <v>0.72684000000000004</v>
      </c>
      <c r="L9" s="28" t="s">
        <v>124</v>
      </c>
      <c r="M9" s="26" t="s">
        <v>125</v>
      </c>
      <c r="N9" s="30">
        <v>39.799999999999997</v>
      </c>
      <c r="O9" s="32"/>
      <c r="P9" s="26">
        <v>44501</v>
      </c>
      <c r="Q9" s="31">
        <f t="shared" si="1"/>
        <v>955189</v>
      </c>
      <c r="R9" s="254">
        <f t="shared" si="0"/>
        <v>42241</v>
      </c>
    </row>
    <row r="10" spans="1:18" s="26" customFormat="1">
      <c r="A10" s="26">
        <v>9</v>
      </c>
      <c r="B10" s="27" t="s">
        <v>126</v>
      </c>
      <c r="C10" s="26" t="s">
        <v>86</v>
      </c>
      <c r="D10" s="26">
        <v>0.37</v>
      </c>
      <c r="E10" s="28" t="s">
        <v>127</v>
      </c>
      <c r="F10" s="26" t="s">
        <v>90</v>
      </c>
      <c r="G10" s="29" t="s">
        <v>128</v>
      </c>
      <c r="H10" s="26">
        <v>0.68117000000000005</v>
      </c>
      <c r="J10" s="246" t="s">
        <v>123</v>
      </c>
      <c r="K10" s="26">
        <v>0.67513000000000001</v>
      </c>
      <c r="L10" s="28"/>
      <c r="M10" s="26" t="s">
        <v>92</v>
      </c>
      <c r="N10" s="30"/>
      <c r="O10" s="32">
        <v>-60.4</v>
      </c>
      <c r="P10" s="26">
        <v>-28544</v>
      </c>
      <c r="Q10" s="31">
        <f t="shared" si="1"/>
        <v>926645</v>
      </c>
      <c r="R10" s="254">
        <f t="shared" si="0"/>
        <v>42241</v>
      </c>
    </row>
    <row r="11" spans="1:18" s="26" customFormat="1">
      <c r="A11" s="26">
        <v>10</v>
      </c>
      <c r="B11" s="27" t="s">
        <v>129</v>
      </c>
      <c r="C11" s="26" t="s">
        <v>86</v>
      </c>
      <c r="D11" s="26">
        <v>0.55000000000000004</v>
      </c>
      <c r="E11" s="28" t="s">
        <v>106</v>
      </c>
      <c r="F11" s="26" t="s">
        <v>90</v>
      </c>
      <c r="G11" s="29" t="s">
        <v>130</v>
      </c>
      <c r="H11" s="26">
        <v>136.35400000000001</v>
      </c>
      <c r="J11" s="246" t="s">
        <v>131</v>
      </c>
      <c r="K11" s="26">
        <v>136.99299999999999</v>
      </c>
      <c r="L11" s="28" t="s">
        <v>103</v>
      </c>
      <c r="M11" s="26" t="s">
        <v>104</v>
      </c>
      <c r="N11" s="30">
        <v>6.4</v>
      </c>
      <c r="O11" s="32"/>
      <c r="P11" s="26">
        <v>330</v>
      </c>
      <c r="Q11" s="31">
        <f t="shared" si="1"/>
        <v>926975</v>
      </c>
      <c r="R11" s="254">
        <f t="shared" si="0"/>
        <v>42244</v>
      </c>
    </row>
    <row r="12" spans="1:18" s="26" customFormat="1">
      <c r="A12" s="26">
        <v>11</v>
      </c>
      <c r="B12" s="27" t="s">
        <v>132</v>
      </c>
      <c r="C12" s="26" t="s">
        <v>86</v>
      </c>
      <c r="D12" s="26">
        <v>0.2</v>
      </c>
      <c r="E12" s="28" t="s">
        <v>106</v>
      </c>
      <c r="F12" s="26" t="s">
        <v>90</v>
      </c>
      <c r="G12" s="29" t="s">
        <v>133</v>
      </c>
      <c r="H12" s="26">
        <v>1.5428299999999999</v>
      </c>
      <c r="J12" s="246" t="s">
        <v>134</v>
      </c>
      <c r="K12" s="26">
        <v>1.54203</v>
      </c>
      <c r="L12" s="28"/>
      <c r="M12" s="26" t="s">
        <v>92</v>
      </c>
      <c r="N12" s="30"/>
      <c r="O12" s="32">
        <v>-8</v>
      </c>
      <c r="P12" s="26">
        <v>-3731</v>
      </c>
      <c r="Q12" s="31">
        <f t="shared" si="1"/>
        <v>923244</v>
      </c>
      <c r="R12" s="254">
        <f t="shared" si="0"/>
        <v>42244</v>
      </c>
    </row>
    <row r="13" spans="1:18" s="26" customFormat="1">
      <c r="B13" s="27"/>
      <c r="E13" s="28"/>
      <c r="G13" s="29"/>
      <c r="J13" s="246"/>
      <c r="L13" s="28"/>
      <c r="M13" s="34" t="s">
        <v>135</v>
      </c>
      <c r="N13" s="30">
        <f>SUM(N9:N12)</f>
        <v>46.199999999999996</v>
      </c>
      <c r="O13" s="32">
        <f>SUM(O2:O12)</f>
        <v>-589.5</v>
      </c>
      <c r="P13" s="26">
        <f>SUM(P2:P12)</f>
        <v>-76756</v>
      </c>
      <c r="Q13" s="31"/>
      <c r="R13" s="254" t="str">
        <f t="shared" si="0"/>
        <v/>
      </c>
    </row>
    <row r="14" spans="1:18" s="35" customFormat="1">
      <c r="B14" s="36" t="s">
        <v>136</v>
      </c>
      <c r="E14" s="37"/>
      <c r="G14" s="38"/>
      <c r="J14" s="247"/>
      <c r="L14" s="37"/>
      <c r="N14" s="39"/>
      <c r="O14" s="40"/>
      <c r="Q14" s="41"/>
      <c r="R14" s="255" t="str">
        <f t="shared" si="0"/>
        <v/>
      </c>
    </row>
    <row r="15" spans="1:18" s="35" customFormat="1">
      <c r="A15" s="35">
        <v>12</v>
      </c>
      <c r="B15" s="42" t="s">
        <v>132</v>
      </c>
      <c r="C15" s="35" t="s">
        <v>86</v>
      </c>
      <c r="D15" s="35">
        <v>0.25</v>
      </c>
      <c r="E15" s="37" t="s">
        <v>137</v>
      </c>
      <c r="F15" s="35" t="s">
        <v>90</v>
      </c>
      <c r="G15" s="38" t="s">
        <v>138</v>
      </c>
      <c r="H15" s="35">
        <v>1.5377700000000001</v>
      </c>
      <c r="J15" s="247" t="s">
        <v>139</v>
      </c>
      <c r="K15" s="35">
        <v>1.54392</v>
      </c>
      <c r="L15" s="37" t="s">
        <v>140</v>
      </c>
      <c r="M15" s="35" t="s">
        <v>125</v>
      </c>
      <c r="N15" s="39">
        <v>61.5</v>
      </c>
      <c r="O15" s="40"/>
      <c r="P15" s="35">
        <v>12994</v>
      </c>
      <c r="Q15" s="41">
        <f>Q12+P15</f>
        <v>936238</v>
      </c>
      <c r="R15" s="255">
        <f t="shared" si="0"/>
        <v>42244</v>
      </c>
    </row>
    <row r="16" spans="1:18" s="35" customFormat="1">
      <c r="A16" s="35">
        <v>13</v>
      </c>
      <c r="B16" s="42" t="s">
        <v>141</v>
      </c>
      <c r="C16" s="35" t="s">
        <v>86</v>
      </c>
      <c r="D16" s="35">
        <v>0.4</v>
      </c>
      <c r="E16" s="37" t="s">
        <v>106</v>
      </c>
      <c r="F16" s="35" t="s">
        <v>90</v>
      </c>
      <c r="G16" s="38" t="s">
        <v>142</v>
      </c>
      <c r="H16" s="35">
        <v>1.5713299999999999</v>
      </c>
      <c r="J16" s="247" t="s">
        <v>143</v>
      </c>
      <c r="K16" s="35">
        <v>1.57996</v>
      </c>
      <c r="L16" s="37" t="s">
        <v>103</v>
      </c>
      <c r="M16" s="35" t="s">
        <v>104</v>
      </c>
      <c r="N16" s="39">
        <v>8.6300000000000008</v>
      </c>
      <c r="O16" s="40"/>
      <c r="P16" s="35">
        <v>832</v>
      </c>
      <c r="Q16" s="41">
        <f t="shared" si="1"/>
        <v>937070</v>
      </c>
      <c r="R16" s="255">
        <f t="shared" si="0"/>
        <v>42247</v>
      </c>
    </row>
    <row r="17" spans="1:18" s="35" customFormat="1">
      <c r="A17" s="35">
        <v>14</v>
      </c>
      <c r="B17" s="42" t="s">
        <v>144</v>
      </c>
      <c r="C17" s="35" t="s">
        <v>86</v>
      </c>
      <c r="D17" s="35">
        <v>0.45</v>
      </c>
      <c r="E17" s="37" t="s">
        <v>106</v>
      </c>
      <c r="F17" s="35" t="s">
        <v>90</v>
      </c>
      <c r="G17" s="38" t="s">
        <v>505</v>
      </c>
      <c r="H17" s="35">
        <v>1.4863500000000001</v>
      </c>
      <c r="J17" s="247" t="s">
        <v>143</v>
      </c>
      <c r="K17" s="35">
        <v>1.5</v>
      </c>
      <c r="L17" s="37" t="s">
        <v>87</v>
      </c>
      <c r="M17" s="35" t="s">
        <v>125</v>
      </c>
      <c r="N17" s="39">
        <v>13.6</v>
      </c>
      <c r="O17" s="40"/>
      <c r="P17" s="35">
        <v>4615</v>
      </c>
      <c r="Q17" s="41">
        <f t="shared" si="1"/>
        <v>941685</v>
      </c>
      <c r="R17" s="255">
        <f t="shared" si="0"/>
        <v>42247</v>
      </c>
    </row>
    <row r="18" spans="1:18" s="35" customFormat="1">
      <c r="A18" s="35">
        <v>15</v>
      </c>
      <c r="B18" s="42" t="s">
        <v>126</v>
      </c>
      <c r="C18" s="35" t="s">
        <v>99</v>
      </c>
      <c r="D18" s="35">
        <v>0.32</v>
      </c>
      <c r="E18" s="37" t="s">
        <v>127</v>
      </c>
      <c r="F18" s="35" t="s">
        <v>145</v>
      </c>
      <c r="G18" s="38" t="s">
        <v>146</v>
      </c>
      <c r="H18" s="35">
        <v>0.67954999999999999</v>
      </c>
      <c r="J18" s="247" t="s">
        <v>147</v>
      </c>
      <c r="K18" s="35">
        <v>0.68081999999999998</v>
      </c>
      <c r="L18" s="37"/>
      <c r="M18" s="35" t="s">
        <v>92</v>
      </c>
      <c r="N18" s="39"/>
      <c r="O18" s="40">
        <v>-12.7</v>
      </c>
      <c r="P18" s="35">
        <v>-5098</v>
      </c>
      <c r="Q18" s="41">
        <f t="shared" si="1"/>
        <v>936587</v>
      </c>
      <c r="R18" s="255">
        <f t="shared" si="0"/>
        <v>42248</v>
      </c>
    </row>
    <row r="19" spans="1:18" s="35" customFormat="1">
      <c r="A19" s="35">
        <v>16</v>
      </c>
      <c r="B19" s="42" t="s">
        <v>148</v>
      </c>
      <c r="C19" s="35" t="s">
        <v>86</v>
      </c>
      <c r="D19" s="35">
        <v>1.1100000000000001</v>
      </c>
      <c r="E19" s="37" t="s">
        <v>149</v>
      </c>
      <c r="F19" s="35" t="s">
        <v>90</v>
      </c>
      <c r="G19" s="38" t="s">
        <v>150</v>
      </c>
      <c r="H19" s="35">
        <v>0.63588</v>
      </c>
      <c r="J19" s="247" t="s">
        <v>151</v>
      </c>
      <c r="K19" s="35">
        <v>0.63366999999999996</v>
      </c>
      <c r="L19" s="37"/>
      <c r="M19" s="35" t="s">
        <v>92</v>
      </c>
      <c r="N19" s="39"/>
      <c r="O19" s="40">
        <v>-22.1</v>
      </c>
      <c r="P19" s="35">
        <v>-29420</v>
      </c>
      <c r="Q19" s="41">
        <f t="shared" si="1"/>
        <v>907167</v>
      </c>
      <c r="R19" s="255">
        <f t="shared" si="0"/>
        <v>42249</v>
      </c>
    </row>
    <row r="20" spans="1:18" s="35" customFormat="1">
      <c r="A20" s="35">
        <v>17</v>
      </c>
      <c r="B20" s="42" t="s">
        <v>98</v>
      </c>
      <c r="C20" s="35" t="s">
        <v>99</v>
      </c>
      <c r="D20" s="35">
        <v>0.11</v>
      </c>
      <c r="E20" s="37" t="s">
        <v>152</v>
      </c>
      <c r="F20" s="35" t="s">
        <v>90</v>
      </c>
      <c r="G20" s="38" t="s">
        <v>153</v>
      </c>
      <c r="H20" s="35">
        <v>1.59663</v>
      </c>
      <c r="J20" s="247" t="s">
        <v>154</v>
      </c>
      <c r="K20" s="35">
        <v>1.5854299999999999</v>
      </c>
      <c r="L20" s="37" t="s">
        <v>103</v>
      </c>
      <c r="M20" s="35" t="s">
        <v>104</v>
      </c>
      <c r="N20" s="39"/>
      <c r="O20" s="40">
        <v>-11.2</v>
      </c>
      <c r="P20" s="35">
        <v>-1473</v>
      </c>
      <c r="Q20" s="41">
        <f t="shared" si="1"/>
        <v>905694</v>
      </c>
      <c r="R20" s="255">
        <f t="shared" si="0"/>
        <v>42249</v>
      </c>
    </row>
    <row r="21" spans="1:18" s="35" customFormat="1">
      <c r="A21" s="35">
        <v>18</v>
      </c>
      <c r="B21" s="42" t="s">
        <v>155</v>
      </c>
      <c r="C21" s="35" t="s">
        <v>99</v>
      </c>
      <c r="D21" s="35">
        <v>0.44</v>
      </c>
      <c r="E21" s="37" t="s">
        <v>156</v>
      </c>
      <c r="F21" s="35" t="s">
        <v>90</v>
      </c>
      <c r="G21" s="38" t="s">
        <v>157</v>
      </c>
      <c r="H21" s="35">
        <v>0.68067</v>
      </c>
      <c r="I21" s="35" t="s">
        <v>158</v>
      </c>
      <c r="J21" s="247" t="s">
        <v>159</v>
      </c>
      <c r="K21" s="35">
        <v>0.67547000000000001</v>
      </c>
      <c r="L21" s="37" t="s">
        <v>160</v>
      </c>
      <c r="M21" s="35" t="s">
        <v>125</v>
      </c>
      <c r="N21" s="39">
        <v>52</v>
      </c>
      <c r="O21" s="40"/>
      <c r="P21" s="35">
        <v>13830</v>
      </c>
      <c r="Q21" s="41">
        <f t="shared" si="1"/>
        <v>919524</v>
      </c>
      <c r="R21" s="255">
        <f t="shared" si="0"/>
        <v>42251</v>
      </c>
    </row>
    <row r="22" spans="1:18" s="35" customFormat="1">
      <c r="A22" s="35">
        <v>19</v>
      </c>
      <c r="B22" s="42" t="s">
        <v>126</v>
      </c>
      <c r="C22" s="35" t="s">
        <v>99</v>
      </c>
      <c r="D22" s="35">
        <v>0.42</v>
      </c>
      <c r="E22" s="37" t="s">
        <v>161</v>
      </c>
      <c r="F22" s="35" t="s">
        <v>90</v>
      </c>
      <c r="G22" s="38" t="s">
        <v>162</v>
      </c>
      <c r="H22" s="35">
        <v>0.67481999999999998</v>
      </c>
      <c r="J22" s="247" t="s">
        <v>163</v>
      </c>
      <c r="K22" s="35">
        <v>0.67832999999999999</v>
      </c>
      <c r="L22" s="37"/>
      <c r="M22" s="35" t="s">
        <v>92</v>
      </c>
      <c r="N22" s="39"/>
      <c r="O22" s="40">
        <v>-35.1</v>
      </c>
      <c r="P22" s="35">
        <v>-18069</v>
      </c>
      <c r="Q22" s="41">
        <f t="shared" si="1"/>
        <v>901455</v>
      </c>
      <c r="R22" s="255">
        <f t="shared" si="0"/>
        <v>42251</v>
      </c>
    </row>
    <row r="23" spans="1:18" s="35" customFormat="1">
      <c r="B23" s="42" t="s">
        <v>164</v>
      </c>
      <c r="E23" s="37"/>
      <c r="G23" s="38"/>
      <c r="J23" s="247"/>
      <c r="L23" s="37"/>
      <c r="M23" s="43" t="s">
        <v>165</v>
      </c>
      <c r="N23" s="39">
        <f>SUM(N15:N22)</f>
        <v>135.72999999999999</v>
      </c>
      <c r="O23" s="44">
        <f>SUM(O18:O22)</f>
        <v>-81.099999999999994</v>
      </c>
      <c r="P23" s="35">
        <f>SUM(P15:P22)</f>
        <v>-21789</v>
      </c>
      <c r="Q23" s="35">
        <v>633952</v>
      </c>
      <c r="R23" s="255" t="str">
        <f t="shared" si="0"/>
        <v/>
      </c>
    </row>
    <row r="24" spans="1:18" s="35" customFormat="1">
      <c r="B24" s="42"/>
      <c r="E24" s="37"/>
      <c r="G24" s="38"/>
      <c r="J24" s="247"/>
      <c r="L24" s="37"/>
      <c r="M24" s="43"/>
      <c r="N24" s="39"/>
      <c r="O24" s="44"/>
      <c r="R24" s="255" t="str">
        <f t="shared" si="0"/>
        <v/>
      </c>
    </row>
    <row r="25" spans="1:18" s="35" customFormat="1">
      <c r="B25" s="36" t="s">
        <v>166</v>
      </c>
      <c r="E25" s="37"/>
      <c r="G25" s="38"/>
      <c r="J25" s="247"/>
      <c r="L25" s="37"/>
      <c r="N25" s="39"/>
      <c r="O25" s="44"/>
      <c r="Q25" s="41"/>
      <c r="R25" s="255" t="str">
        <f t="shared" si="0"/>
        <v/>
      </c>
    </row>
    <row r="26" spans="1:18" s="35" customFormat="1">
      <c r="A26" s="45">
        <v>20</v>
      </c>
      <c r="B26" s="46" t="s">
        <v>484</v>
      </c>
      <c r="C26" s="45" t="s">
        <v>86</v>
      </c>
      <c r="D26" s="45">
        <v>0.25</v>
      </c>
      <c r="E26" s="47" t="s">
        <v>167</v>
      </c>
      <c r="F26" s="45" t="s">
        <v>90</v>
      </c>
      <c r="G26" s="48" t="s">
        <v>168</v>
      </c>
      <c r="H26" s="45">
        <v>133.16499999999999</v>
      </c>
      <c r="I26" s="45"/>
      <c r="J26" s="248" t="s">
        <v>169</v>
      </c>
      <c r="K26" s="45">
        <v>132.977</v>
      </c>
      <c r="L26" s="47" t="s">
        <v>170</v>
      </c>
      <c r="M26" s="45" t="s">
        <v>92</v>
      </c>
      <c r="N26" s="49"/>
      <c r="O26" s="40">
        <v>-18.8</v>
      </c>
      <c r="P26" s="45">
        <v>-4750</v>
      </c>
      <c r="Q26" s="41">
        <f>Q23+P26</f>
        <v>629202</v>
      </c>
      <c r="R26" s="255">
        <f t="shared" si="0"/>
        <v>42254</v>
      </c>
    </row>
    <row r="27" spans="1:18" s="35" customFormat="1">
      <c r="A27" s="35">
        <v>21</v>
      </c>
      <c r="B27" s="42" t="s">
        <v>171</v>
      </c>
      <c r="C27" s="35" t="s">
        <v>86</v>
      </c>
      <c r="D27" s="45">
        <v>0.52</v>
      </c>
      <c r="E27" s="47" t="s">
        <v>106</v>
      </c>
      <c r="F27" s="45" t="s">
        <v>90</v>
      </c>
      <c r="G27" s="38" t="s">
        <v>172</v>
      </c>
      <c r="H27" s="45">
        <v>0.62748000000000004</v>
      </c>
      <c r="J27" s="247" t="s">
        <v>173</v>
      </c>
      <c r="K27" s="45">
        <v>0.62851999999999997</v>
      </c>
      <c r="L27" s="37" t="s">
        <v>87</v>
      </c>
      <c r="M27" s="45" t="s">
        <v>125</v>
      </c>
      <c r="N27" s="39">
        <v>10.4</v>
      </c>
      <c r="O27" s="40"/>
      <c r="P27" s="35">
        <v>6492</v>
      </c>
      <c r="Q27" s="41">
        <f t="shared" ref="Q27:Q43" si="2">Q26+P27</f>
        <v>635694</v>
      </c>
      <c r="R27" s="255">
        <f t="shared" si="0"/>
        <v>42255</v>
      </c>
    </row>
    <row r="28" spans="1:18" s="35" customFormat="1">
      <c r="A28" s="35">
        <v>22</v>
      </c>
      <c r="B28" s="42" t="s">
        <v>174</v>
      </c>
      <c r="C28" s="35" t="s">
        <v>99</v>
      </c>
      <c r="D28" s="35">
        <v>1</v>
      </c>
      <c r="E28" s="37" t="s">
        <v>167</v>
      </c>
      <c r="F28" s="35" t="s">
        <v>175</v>
      </c>
      <c r="G28" s="38" t="s">
        <v>176</v>
      </c>
      <c r="H28" s="35">
        <v>0.97765000000000002</v>
      </c>
      <c r="J28" s="247" t="s">
        <v>177</v>
      </c>
      <c r="K28" s="35">
        <v>0.97912999999999994</v>
      </c>
      <c r="L28" s="37"/>
      <c r="M28" s="45" t="s">
        <v>92</v>
      </c>
      <c r="N28" s="39"/>
      <c r="O28" s="40">
        <v>-14.8</v>
      </c>
      <c r="P28" s="35">
        <v>-18168</v>
      </c>
      <c r="Q28" s="41">
        <f t="shared" si="2"/>
        <v>617526</v>
      </c>
      <c r="R28" s="255">
        <f t="shared" si="0"/>
        <v>42256</v>
      </c>
    </row>
    <row r="29" spans="1:18" s="35" customFormat="1">
      <c r="A29" s="35">
        <v>23</v>
      </c>
      <c r="B29" s="42" t="s">
        <v>98</v>
      </c>
      <c r="C29" s="35" t="s">
        <v>99</v>
      </c>
      <c r="D29" s="35">
        <v>0.57999999999999996</v>
      </c>
      <c r="E29" s="37" t="s">
        <v>178</v>
      </c>
      <c r="F29" s="35" t="s">
        <v>90</v>
      </c>
      <c r="G29" s="38" t="s">
        <v>179</v>
      </c>
      <c r="H29" s="35">
        <v>1.11443</v>
      </c>
      <c r="J29" s="247" t="s">
        <v>180</v>
      </c>
      <c r="K29" s="35">
        <v>1.1021099999999999</v>
      </c>
      <c r="L29" s="37" t="s">
        <v>181</v>
      </c>
      <c r="M29" s="45" t="s">
        <v>92</v>
      </c>
      <c r="N29" s="39"/>
      <c r="O29" s="40">
        <v>-123.2</v>
      </c>
      <c r="P29" s="35">
        <v>-19918</v>
      </c>
      <c r="Q29" s="41">
        <f t="shared" si="2"/>
        <v>597608</v>
      </c>
      <c r="R29" s="255">
        <f t="shared" si="0"/>
        <v>42256</v>
      </c>
    </row>
    <row r="30" spans="1:18" s="35" customFormat="1">
      <c r="A30" s="35">
        <v>24</v>
      </c>
      <c r="B30" s="42" t="s">
        <v>182</v>
      </c>
      <c r="C30" s="35" t="s">
        <v>99</v>
      </c>
      <c r="D30" s="35">
        <v>0.21</v>
      </c>
      <c r="E30" s="37" t="s">
        <v>152</v>
      </c>
      <c r="F30" s="35" t="s">
        <v>90</v>
      </c>
      <c r="G30" s="38" t="s">
        <v>183</v>
      </c>
      <c r="H30" s="35">
        <v>1.5343899999999999</v>
      </c>
      <c r="J30" s="247" t="s">
        <v>184</v>
      </c>
      <c r="K30" s="35">
        <v>1.5315300000000001</v>
      </c>
      <c r="L30" s="37" t="s">
        <v>185</v>
      </c>
      <c r="M30" s="45" t="s">
        <v>92</v>
      </c>
      <c r="N30" s="39"/>
      <c r="O30" s="40">
        <v>-28.6</v>
      </c>
      <c r="P30" s="35">
        <v>-19023</v>
      </c>
      <c r="Q30" s="41">
        <f t="shared" si="2"/>
        <v>578585</v>
      </c>
      <c r="R30" s="255">
        <f t="shared" si="0"/>
        <v>42257</v>
      </c>
    </row>
    <row r="31" spans="1:18" s="35" customFormat="1">
      <c r="B31" s="42"/>
      <c r="E31" s="37"/>
      <c r="G31" s="38"/>
      <c r="J31" s="247"/>
      <c r="L31" s="37"/>
      <c r="M31" s="43" t="s">
        <v>186</v>
      </c>
      <c r="N31" s="39">
        <v>10.4</v>
      </c>
      <c r="O31" s="40">
        <f>SUM(O26:O30)</f>
        <v>-185.4</v>
      </c>
      <c r="P31" s="35">
        <f>SUM(P26:P30)</f>
        <v>-55367</v>
      </c>
      <c r="Q31" s="41"/>
      <c r="R31" s="255" t="str">
        <f t="shared" si="0"/>
        <v/>
      </c>
    </row>
    <row r="32" spans="1:18" s="50" customFormat="1">
      <c r="B32" s="51" t="s">
        <v>187</v>
      </c>
      <c r="E32" s="52"/>
      <c r="G32" s="53"/>
      <c r="J32" s="249"/>
      <c r="L32" s="52"/>
      <c r="M32" s="54"/>
      <c r="N32" s="55"/>
      <c r="O32" s="56"/>
      <c r="Q32" s="57"/>
      <c r="R32" s="256" t="str">
        <f t="shared" si="0"/>
        <v/>
      </c>
    </row>
    <row r="33" spans="1:18" s="50" customFormat="1">
      <c r="A33" s="50">
        <v>25</v>
      </c>
      <c r="B33" s="58" t="s">
        <v>461</v>
      </c>
      <c r="C33" s="50" t="s">
        <v>99</v>
      </c>
      <c r="D33" s="50">
        <v>0.54</v>
      </c>
      <c r="E33" s="59" t="s">
        <v>188</v>
      </c>
      <c r="F33" s="50" t="s">
        <v>90</v>
      </c>
      <c r="G33" s="53" t="s">
        <v>189</v>
      </c>
      <c r="H33" s="50">
        <v>136.38300000000001</v>
      </c>
      <c r="I33" s="50" t="s">
        <v>118</v>
      </c>
      <c r="J33" s="250" t="s">
        <v>190</v>
      </c>
      <c r="K33" s="50">
        <v>136.25299999999999</v>
      </c>
      <c r="L33" s="52" t="s">
        <v>170</v>
      </c>
      <c r="M33" s="54" t="s">
        <v>125</v>
      </c>
      <c r="N33" s="55">
        <v>13</v>
      </c>
      <c r="O33" s="56"/>
      <c r="P33" s="50">
        <v>6966</v>
      </c>
      <c r="Q33" s="57">
        <f>Q30+P33</f>
        <v>585551</v>
      </c>
      <c r="R33" s="256">
        <f t="shared" si="0"/>
        <v>42261</v>
      </c>
    </row>
    <row r="34" spans="1:18" s="50" customFormat="1">
      <c r="A34" s="50">
        <v>26</v>
      </c>
      <c r="B34" s="58" t="s">
        <v>98</v>
      </c>
      <c r="C34" s="50" t="s">
        <v>99</v>
      </c>
      <c r="D34" s="50">
        <v>0.3</v>
      </c>
      <c r="E34" s="52" t="s">
        <v>137</v>
      </c>
      <c r="F34" s="50" t="s">
        <v>191</v>
      </c>
      <c r="G34" s="53" t="s">
        <v>189</v>
      </c>
      <c r="H34" s="50">
        <v>1.1324700000000001</v>
      </c>
      <c r="I34" s="50" t="s">
        <v>90</v>
      </c>
      <c r="J34" s="250" t="s">
        <v>190</v>
      </c>
      <c r="K34" s="50">
        <v>1.1305499999999999</v>
      </c>
      <c r="L34" s="52" t="s">
        <v>103</v>
      </c>
      <c r="M34" s="54" t="s">
        <v>104</v>
      </c>
      <c r="N34" s="55">
        <v>19.2</v>
      </c>
      <c r="O34" s="56"/>
      <c r="P34" s="50">
        <v>145</v>
      </c>
      <c r="Q34" s="57">
        <f t="shared" si="2"/>
        <v>585696</v>
      </c>
      <c r="R34" s="256">
        <f t="shared" si="0"/>
        <v>42261</v>
      </c>
    </row>
    <row r="35" spans="1:18" s="50" customFormat="1">
      <c r="A35" s="50">
        <v>27</v>
      </c>
      <c r="B35" s="58" t="s">
        <v>98</v>
      </c>
      <c r="C35" s="50" t="s">
        <v>99</v>
      </c>
      <c r="D35" s="50">
        <v>0.4</v>
      </c>
      <c r="E35" s="52" t="s">
        <v>137</v>
      </c>
      <c r="F35" s="50" t="s">
        <v>191</v>
      </c>
      <c r="G35" s="53" t="s">
        <v>189</v>
      </c>
      <c r="H35" s="50">
        <v>1.1324700000000001</v>
      </c>
      <c r="I35" s="50" t="s">
        <v>90</v>
      </c>
      <c r="J35" s="250" t="s">
        <v>190</v>
      </c>
      <c r="K35" s="50">
        <v>1.12958</v>
      </c>
      <c r="L35" s="52" t="s">
        <v>103</v>
      </c>
      <c r="M35" s="54" t="s">
        <v>104</v>
      </c>
      <c r="N35" s="55">
        <v>28.9</v>
      </c>
      <c r="O35" s="56"/>
      <c r="P35" s="50">
        <v>193</v>
      </c>
      <c r="Q35" s="57">
        <f t="shared" si="2"/>
        <v>585889</v>
      </c>
      <c r="R35" s="256">
        <f t="shared" si="0"/>
        <v>42261</v>
      </c>
    </row>
    <row r="36" spans="1:18" s="50" customFormat="1">
      <c r="A36" s="50">
        <v>28</v>
      </c>
      <c r="B36" s="58" t="s">
        <v>483</v>
      </c>
      <c r="C36" s="50" t="s">
        <v>99</v>
      </c>
      <c r="D36" s="50">
        <v>0.24</v>
      </c>
      <c r="E36" s="52" t="s">
        <v>192</v>
      </c>
      <c r="F36" s="50" t="s">
        <v>90</v>
      </c>
      <c r="G36" s="53" t="s">
        <v>193</v>
      </c>
      <c r="H36" s="50">
        <v>135.84200000000001</v>
      </c>
      <c r="I36" s="50" t="s">
        <v>90</v>
      </c>
      <c r="J36" s="250" t="s">
        <v>194</v>
      </c>
      <c r="K36" s="50">
        <v>135.84399999999999</v>
      </c>
      <c r="L36" s="52" t="s">
        <v>103</v>
      </c>
      <c r="M36" s="54" t="s">
        <v>104</v>
      </c>
      <c r="N36" s="55"/>
      <c r="O36" s="56">
        <v>-0.2</v>
      </c>
      <c r="P36" s="50">
        <v>-48</v>
      </c>
      <c r="Q36" s="50">
        <v>633952</v>
      </c>
      <c r="R36" s="256">
        <f t="shared" si="0"/>
        <v>42261</v>
      </c>
    </row>
    <row r="37" spans="1:18" s="50" customFormat="1">
      <c r="A37" s="50">
        <v>29</v>
      </c>
      <c r="B37" s="58" t="s">
        <v>93</v>
      </c>
      <c r="C37" s="50" t="s">
        <v>99</v>
      </c>
      <c r="D37" s="50">
        <v>0.23</v>
      </c>
      <c r="E37" s="52" t="s">
        <v>152</v>
      </c>
      <c r="F37" s="50" t="s">
        <v>90</v>
      </c>
      <c r="G37" s="53" t="s">
        <v>195</v>
      </c>
      <c r="H37" s="50">
        <v>0.73236999999999997</v>
      </c>
      <c r="I37" s="50" t="s">
        <v>90</v>
      </c>
      <c r="J37" s="250" t="s">
        <v>196</v>
      </c>
      <c r="K37" s="50">
        <v>0.73594999999999999</v>
      </c>
      <c r="L37" s="52" t="s">
        <v>197</v>
      </c>
      <c r="M37" s="54" t="s">
        <v>92</v>
      </c>
      <c r="N37" s="55"/>
      <c r="O37" s="56">
        <v>-35.799999999999997</v>
      </c>
      <c r="P37" s="50">
        <v>-15196</v>
      </c>
      <c r="Q37" s="57">
        <f t="shared" si="2"/>
        <v>618756</v>
      </c>
      <c r="R37" s="256">
        <f t="shared" si="0"/>
        <v>42262</v>
      </c>
    </row>
    <row r="38" spans="1:18" s="50" customFormat="1">
      <c r="A38" s="50">
        <v>30</v>
      </c>
      <c r="B38" s="58" t="s">
        <v>198</v>
      </c>
      <c r="C38" s="50" t="s">
        <v>99</v>
      </c>
      <c r="D38" s="50">
        <v>0.4</v>
      </c>
      <c r="E38" s="59" t="s">
        <v>199</v>
      </c>
      <c r="F38" s="50" t="s">
        <v>90</v>
      </c>
      <c r="G38" s="53" t="s">
        <v>200</v>
      </c>
      <c r="H38" s="50">
        <v>0.94806999999999997</v>
      </c>
      <c r="I38" s="50" t="s">
        <v>158</v>
      </c>
      <c r="J38" s="250" t="s">
        <v>201</v>
      </c>
      <c r="K38" s="50">
        <v>0.94101000000000001</v>
      </c>
      <c r="L38" s="52" t="s">
        <v>202</v>
      </c>
      <c r="M38" s="54" t="s">
        <v>125</v>
      </c>
      <c r="N38" s="55">
        <v>70.599999999999994</v>
      </c>
      <c r="O38" s="56"/>
      <c r="P38" s="50">
        <v>7106</v>
      </c>
      <c r="Q38" s="57">
        <f t="shared" si="2"/>
        <v>625862</v>
      </c>
      <c r="R38" s="256">
        <f t="shared" si="0"/>
        <v>42262</v>
      </c>
    </row>
    <row r="39" spans="1:18" s="50" customFormat="1">
      <c r="A39" s="50">
        <v>31</v>
      </c>
      <c r="B39" s="58" t="s">
        <v>203</v>
      </c>
      <c r="C39" s="50" t="s">
        <v>86</v>
      </c>
      <c r="D39" s="50">
        <v>0.51</v>
      </c>
      <c r="E39" s="52" t="s">
        <v>204</v>
      </c>
      <c r="F39" s="50" t="s">
        <v>90</v>
      </c>
      <c r="G39" s="53" t="s">
        <v>195</v>
      </c>
      <c r="H39" s="50">
        <v>90.411000000000001</v>
      </c>
      <c r="I39" s="50" t="s">
        <v>118</v>
      </c>
      <c r="J39" s="249" t="s">
        <v>205</v>
      </c>
      <c r="K39" s="50">
        <v>90.096999999999994</v>
      </c>
      <c r="L39" s="52" t="s">
        <v>197</v>
      </c>
      <c r="M39" s="54" t="s">
        <v>92</v>
      </c>
      <c r="N39" s="55"/>
      <c r="O39" s="56">
        <v>-31.4</v>
      </c>
      <c r="P39" s="50">
        <v>-16014</v>
      </c>
      <c r="Q39" s="57">
        <f t="shared" si="2"/>
        <v>609848</v>
      </c>
      <c r="R39" s="256">
        <f t="shared" si="0"/>
        <v>42262</v>
      </c>
    </row>
    <row r="40" spans="1:18" s="50" customFormat="1">
      <c r="A40" s="50">
        <v>32</v>
      </c>
      <c r="B40" s="58" t="s">
        <v>206</v>
      </c>
      <c r="C40" s="50" t="s">
        <v>86</v>
      </c>
      <c r="D40" s="50">
        <v>0.19</v>
      </c>
      <c r="E40" s="52" t="s">
        <v>207</v>
      </c>
      <c r="F40" s="50" t="s">
        <v>90</v>
      </c>
      <c r="G40" s="53" t="s">
        <v>208</v>
      </c>
      <c r="H40" s="50">
        <v>185.09700000000001</v>
      </c>
      <c r="I40" s="50" t="s">
        <v>209</v>
      </c>
      <c r="J40" s="249" t="s">
        <v>210</v>
      </c>
      <c r="K40" s="50">
        <v>186.608</v>
      </c>
      <c r="L40" s="52" t="s">
        <v>211</v>
      </c>
      <c r="M40" s="54" t="s">
        <v>125</v>
      </c>
      <c r="N40" s="55">
        <v>151.1</v>
      </c>
      <c r="O40" s="56"/>
      <c r="P40" s="50">
        <v>29279</v>
      </c>
      <c r="Q40" s="57">
        <f t="shared" si="2"/>
        <v>639127</v>
      </c>
      <c r="R40" s="256">
        <f t="shared" si="0"/>
        <v>42263</v>
      </c>
    </row>
    <row r="41" spans="1:18" s="50" customFormat="1">
      <c r="A41" s="50">
        <v>33</v>
      </c>
      <c r="B41" s="58" t="s">
        <v>206</v>
      </c>
      <c r="C41" s="50" t="s">
        <v>99</v>
      </c>
      <c r="D41" s="50">
        <v>0.36</v>
      </c>
      <c r="E41" s="52" t="s">
        <v>212</v>
      </c>
      <c r="F41" s="50" t="s">
        <v>90</v>
      </c>
      <c r="G41" s="53" t="s">
        <v>213</v>
      </c>
      <c r="H41" s="50">
        <v>186.91900000000001</v>
      </c>
      <c r="I41" s="50" t="s">
        <v>118</v>
      </c>
      <c r="J41" s="249" t="s">
        <v>214</v>
      </c>
      <c r="K41" s="50">
        <v>186.929</v>
      </c>
      <c r="L41" s="52" t="s">
        <v>103</v>
      </c>
      <c r="M41" s="54" t="s">
        <v>104</v>
      </c>
      <c r="N41" s="55"/>
      <c r="O41" s="56">
        <v>-1</v>
      </c>
      <c r="P41" s="50">
        <v>360</v>
      </c>
      <c r="Q41" s="57">
        <f t="shared" si="2"/>
        <v>639487</v>
      </c>
      <c r="R41" s="256">
        <f t="shared" si="0"/>
        <v>42264</v>
      </c>
    </row>
    <row r="42" spans="1:18" s="50" customFormat="1">
      <c r="A42" s="50">
        <v>34</v>
      </c>
      <c r="B42" s="58" t="s">
        <v>215</v>
      </c>
      <c r="C42" s="50" t="s">
        <v>99</v>
      </c>
      <c r="D42" s="50">
        <v>0.37</v>
      </c>
      <c r="E42" s="52" t="s">
        <v>152</v>
      </c>
      <c r="F42" s="50" t="s">
        <v>90</v>
      </c>
      <c r="G42" s="53" t="s">
        <v>216</v>
      </c>
      <c r="H42" s="50">
        <v>0.71743999999999997</v>
      </c>
      <c r="I42" s="50" t="s">
        <v>90</v>
      </c>
      <c r="J42" s="249" t="s">
        <v>217</v>
      </c>
      <c r="K42" s="50">
        <v>0.71506000000000003</v>
      </c>
      <c r="L42" s="52" t="s">
        <v>218</v>
      </c>
      <c r="M42" s="54" t="s">
        <v>125</v>
      </c>
      <c r="N42" s="55">
        <v>23.8</v>
      </c>
      <c r="O42" s="56"/>
      <c r="P42" s="50">
        <v>10645</v>
      </c>
      <c r="Q42" s="57">
        <f t="shared" si="2"/>
        <v>650132</v>
      </c>
      <c r="R42" s="256">
        <f t="shared" si="0"/>
        <v>42264</v>
      </c>
    </row>
    <row r="43" spans="1:18" s="50" customFormat="1">
      <c r="A43" s="50">
        <v>35</v>
      </c>
      <c r="B43" s="58" t="s">
        <v>463</v>
      </c>
      <c r="C43" s="50" t="s">
        <v>99</v>
      </c>
      <c r="D43" s="50">
        <v>0.22</v>
      </c>
      <c r="E43" s="52" t="s">
        <v>152</v>
      </c>
      <c r="F43" s="50" t="s">
        <v>90</v>
      </c>
      <c r="G43" s="53" t="s">
        <v>219</v>
      </c>
      <c r="H43" s="50">
        <v>136.72200000000001</v>
      </c>
      <c r="I43" s="50" t="s">
        <v>90</v>
      </c>
      <c r="J43" s="249" t="s">
        <v>220</v>
      </c>
      <c r="K43" s="50">
        <v>136.32599999999999</v>
      </c>
      <c r="L43" s="52" t="s">
        <v>218</v>
      </c>
      <c r="M43" s="54" t="s">
        <v>125</v>
      </c>
      <c r="N43" s="55">
        <v>39.6</v>
      </c>
      <c r="O43" s="56"/>
      <c r="P43" s="50">
        <v>8712</v>
      </c>
      <c r="Q43" s="57">
        <f t="shared" si="2"/>
        <v>658844</v>
      </c>
      <c r="R43" s="256">
        <f t="shared" si="0"/>
        <v>42265</v>
      </c>
    </row>
    <row r="44" spans="1:18" s="50" customFormat="1">
      <c r="B44" s="58" t="s">
        <v>164</v>
      </c>
      <c r="E44" s="52"/>
      <c r="G44" s="53"/>
      <c r="J44" s="249"/>
      <c r="L44" s="52"/>
      <c r="M44" s="60" t="s">
        <v>221</v>
      </c>
      <c r="N44" s="55">
        <f>SUM(N33:N43)</f>
        <v>346.2</v>
      </c>
      <c r="O44" s="56">
        <f>SUM(O33:O43)</f>
        <v>-68.400000000000006</v>
      </c>
      <c r="P44" s="50">
        <f>SUM(P33:P43)</f>
        <v>32148</v>
      </c>
      <c r="Q44" s="57"/>
      <c r="R44" s="256" t="str">
        <f t="shared" si="0"/>
        <v/>
      </c>
    </row>
    <row r="45" spans="1:18" s="50" customFormat="1">
      <c r="B45" s="51" t="s">
        <v>222</v>
      </c>
      <c r="E45" s="52"/>
      <c r="G45" s="53"/>
      <c r="J45" s="249"/>
      <c r="L45" s="52"/>
      <c r="M45" s="54"/>
      <c r="N45" s="55"/>
      <c r="O45" s="56"/>
      <c r="Q45" s="57"/>
      <c r="R45" s="256" t="str">
        <f t="shared" si="0"/>
        <v/>
      </c>
    </row>
    <row r="46" spans="1:18" s="50" customFormat="1">
      <c r="A46" s="50">
        <v>36</v>
      </c>
      <c r="B46" s="58" t="s">
        <v>215</v>
      </c>
      <c r="C46" s="50" t="s">
        <v>99</v>
      </c>
      <c r="D46" s="50">
        <v>1.25</v>
      </c>
      <c r="E46" s="52" t="s">
        <v>223</v>
      </c>
      <c r="F46" s="50" t="s">
        <v>191</v>
      </c>
      <c r="G46" s="53" t="s">
        <v>224</v>
      </c>
      <c r="H46" s="50">
        <v>0.71626999999999996</v>
      </c>
      <c r="I46" s="50" t="s">
        <v>158</v>
      </c>
      <c r="J46" s="249" t="s">
        <v>225</v>
      </c>
      <c r="K46" s="50">
        <v>0.71718000000000004</v>
      </c>
      <c r="L46" s="52"/>
      <c r="M46" s="54" t="s">
        <v>92</v>
      </c>
      <c r="N46" s="55"/>
      <c r="O46" s="56">
        <v>-9.1</v>
      </c>
      <c r="P46" s="50">
        <v>-16622</v>
      </c>
      <c r="Q46" s="57">
        <f>Q42+P46</f>
        <v>633510</v>
      </c>
      <c r="R46" s="256">
        <f t="shared" si="0"/>
        <v>42268</v>
      </c>
    </row>
    <row r="47" spans="1:18" s="50" customFormat="1">
      <c r="A47" s="50">
        <v>37</v>
      </c>
      <c r="B47" s="58" t="s">
        <v>215</v>
      </c>
      <c r="C47" s="50" t="s">
        <v>99</v>
      </c>
      <c r="D47" s="50">
        <v>1.5</v>
      </c>
      <c r="E47" s="52" t="s">
        <v>226</v>
      </c>
      <c r="F47" s="50" t="s">
        <v>191</v>
      </c>
      <c r="G47" s="53" t="s">
        <v>227</v>
      </c>
      <c r="H47" s="50">
        <v>0.71782999999999997</v>
      </c>
      <c r="I47" s="50" t="s">
        <v>158</v>
      </c>
      <c r="J47" s="249" t="s">
        <v>228</v>
      </c>
      <c r="K47" s="50">
        <v>0.71786000000000005</v>
      </c>
      <c r="L47" s="52"/>
      <c r="M47" s="54" t="s">
        <v>92</v>
      </c>
      <c r="N47" s="55"/>
      <c r="O47" s="56">
        <v>-0.3</v>
      </c>
      <c r="P47" s="50">
        <v>-21614</v>
      </c>
      <c r="Q47" s="57">
        <f>Q46+P47</f>
        <v>611896</v>
      </c>
      <c r="R47" s="256">
        <f t="shared" si="0"/>
        <v>42268</v>
      </c>
    </row>
    <row r="48" spans="1:18" s="50" customFormat="1">
      <c r="A48" s="50">
        <v>38</v>
      </c>
      <c r="B48" s="58" t="s">
        <v>215</v>
      </c>
      <c r="C48" s="50" t="s">
        <v>99</v>
      </c>
      <c r="D48" s="50">
        <v>0.59</v>
      </c>
      <c r="E48" s="52" t="s">
        <v>229</v>
      </c>
      <c r="F48" s="50" t="s">
        <v>191</v>
      </c>
      <c r="G48" s="53" t="s">
        <v>230</v>
      </c>
      <c r="H48" s="50">
        <v>0.71596000000000004</v>
      </c>
      <c r="I48" s="50" t="s">
        <v>118</v>
      </c>
      <c r="J48" s="249" t="s">
        <v>231</v>
      </c>
      <c r="K48" s="50">
        <v>0.70916000000000001</v>
      </c>
      <c r="L48" s="52" t="s">
        <v>232</v>
      </c>
      <c r="M48" s="54" t="s">
        <v>125</v>
      </c>
      <c r="N48" s="55">
        <v>68</v>
      </c>
      <c r="O48" s="56"/>
      <c r="P48" s="50">
        <v>48083</v>
      </c>
      <c r="Q48" s="57">
        <f t="shared" ref="Q48:Q58" si="3">Q47+P48</f>
        <v>659979</v>
      </c>
      <c r="R48" s="256">
        <f t="shared" si="0"/>
        <v>42268</v>
      </c>
    </row>
    <row r="49" spans="1:18" s="50" customFormat="1">
      <c r="A49" s="54">
        <v>39</v>
      </c>
      <c r="B49" s="61" t="s">
        <v>233</v>
      </c>
      <c r="C49" s="54" t="s">
        <v>86</v>
      </c>
      <c r="D49" s="54">
        <v>0.8</v>
      </c>
      <c r="E49" s="59" t="s">
        <v>137</v>
      </c>
      <c r="F49" s="54" t="s">
        <v>191</v>
      </c>
      <c r="G49" s="62" t="s">
        <v>234</v>
      </c>
      <c r="H49" s="54">
        <v>0.62895000000000001</v>
      </c>
      <c r="I49" s="54" t="s">
        <v>90</v>
      </c>
      <c r="J49" s="251" t="s">
        <v>235</v>
      </c>
      <c r="K49" s="54">
        <v>0.62697000000000003</v>
      </c>
      <c r="L49" s="59"/>
      <c r="M49" s="54" t="s">
        <v>92</v>
      </c>
      <c r="N49" s="63"/>
      <c r="O49" s="56">
        <v>-19.8</v>
      </c>
      <c r="P49" s="54">
        <v>-19004</v>
      </c>
      <c r="Q49" s="57">
        <f t="shared" si="3"/>
        <v>640975</v>
      </c>
      <c r="R49" s="256">
        <f t="shared" si="0"/>
        <v>42269</v>
      </c>
    </row>
    <row r="50" spans="1:18" s="50" customFormat="1">
      <c r="A50" s="54">
        <v>40</v>
      </c>
      <c r="B50" s="61" t="s">
        <v>236</v>
      </c>
      <c r="C50" s="54" t="s">
        <v>86</v>
      </c>
      <c r="D50" s="54">
        <v>0.43</v>
      </c>
      <c r="E50" s="59" t="s">
        <v>137</v>
      </c>
      <c r="F50" s="54" t="s">
        <v>90</v>
      </c>
      <c r="G50" s="62" t="s">
        <v>237</v>
      </c>
      <c r="H50" s="54">
        <v>1.47926</v>
      </c>
      <c r="I50" s="54" t="s">
        <v>90</v>
      </c>
      <c r="J50" s="251" t="s">
        <v>238</v>
      </c>
      <c r="K50" s="54">
        <v>1.47424</v>
      </c>
      <c r="L50" s="59"/>
      <c r="M50" s="54" t="s">
        <v>92</v>
      </c>
      <c r="N50" s="63"/>
      <c r="O50" s="56">
        <v>-50.2</v>
      </c>
      <c r="P50" s="54">
        <v>-19544</v>
      </c>
      <c r="Q50" s="57">
        <f t="shared" si="3"/>
        <v>621431</v>
      </c>
      <c r="R50" s="256">
        <f t="shared" si="0"/>
        <v>42270</v>
      </c>
    </row>
    <row r="51" spans="1:18" s="50" customFormat="1">
      <c r="A51" s="50">
        <v>41</v>
      </c>
      <c r="B51" s="58" t="s">
        <v>239</v>
      </c>
      <c r="C51" s="54" t="s">
        <v>99</v>
      </c>
      <c r="D51" s="54">
        <v>1.22</v>
      </c>
      <c r="E51" s="59" t="s">
        <v>240</v>
      </c>
      <c r="F51" s="54" t="s">
        <v>191</v>
      </c>
      <c r="G51" s="53" t="s">
        <v>241</v>
      </c>
      <c r="H51" s="54">
        <v>1.32792</v>
      </c>
      <c r="I51" s="54" t="s">
        <v>90</v>
      </c>
      <c r="J51" s="249" t="s">
        <v>242</v>
      </c>
      <c r="K51" s="54">
        <v>1.3285899999999999</v>
      </c>
      <c r="L51" s="52"/>
      <c r="M51" s="54" t="s">
        <v>92</v>
      </c>
      <c r="N51" s="55"/>
      <c r="O51" s="56">
        <v>-6.7</v>
      </c>
      <c r="P51" s="50">
        <v>-7404</v>
      </c>
      <c r="Q51" s="57">
        <f t="shared" si="3"/>
        <v>614027</v>
      </c>
      <c r="R51" s="256">
        <f t="shared" si="0"/>
        <v>42270</v>
      </c>
    </row>
    <row r="52" spans="1:18" s="50" customFormat="1">
      <c r="A52" s="50">
        <v>42</v>
      </c>
      <c r="B52" s="58" t="s">
        <v>112</v>
      </c>
      <c r="C52" s="54" t="s">
        <v>86</v>
      </c>
      <c r="D52" s="54">
        <v>0.85</v>
      </c>
      <c r="E52" s="59" t="s">
        <v>243</v>
      </c>
      <c r="F52" s="54" t="s">
        <v>191</v>
      </c>
      <c r="G52" s="53" t="s">
        <v>241</v>
      </c>
      <c r="H52" s="54">
        <v>133.35400000000001</v>
      </c>
      <c r="I52" s="54" t="s">
        <v>158</v>
      </c>
      <c r="J52" s="249" t="s">
        <v>238</v>
      </c>
      <c r="K52" s="54">
        <v>133.547</v>
      </c>
      <c r="L52" s="59" t="s">
        <v>244</v>
      </c>
      <c r="M52" s="54" t="s">
        <v>125</v>
      </c>
      <c r="N52" s="55">
        <v>19.3</v>
      </c>
      <c r="O52" s="56"/>
      <c r="P52" s="50">
        <v>16405</v>
      </c>
      <c r="Q52" s="57">
        <f t="shared" si="3"/>
        <v>630432</v>
      </c>
      <c r="R52" s="256">
        <f t="shared" si="0"/>
        <v>42270</v>
      </c>
    </row>
    <row r="53" spans="1:18" s="50" customFormat="1">
      <c r="A53" s="50">
        <v>43</v>
      </c>
      <c r="B53" s="58" t="s">
        <v>116</v>
      </c>
      <c r="C53" s="54" t="s">
        <v>86</v>
      </c>
      <c r="D53" s="54">
        <v>1</v>
      </c>
      <c r="E53" s="59" t="s">
        <v>245</v>
      </c>
      <c r="F53" s="54" t="s">
        <v>191</v>
      </c>
      <c r="G53" s="53" t="s">
        <v>246</v>
      </c>
      <c r="H53" s="54">
        <v>0.62639</v>
      </c>
      <c r="I53" s="54" t="s">
        <v>158</v>
      </c>
      <c r="J53" s="249" t="s">
        <v>247</v>
      </c>
      <c r="K53" s="54">
        <v>0.63490999999999997</v>
      </c>
      <c r="L53" s="52" t="s">
        <v>232</v>
      </c>
      <c r="M53" s="54" t="s">
        <v>125</v>
      </c>
      <c r="N53" s="55">
        <v>85.2</v>
      </c>
      <c r="O53" s="56"/>
      <c r="P53" s="50">
        <v>101606</v>
      </c>
      <c r="Q53" s="57">
        <f t="shared" si="3"/>
        <v>732038</v>
      </c>
      <c r="R53" s="256">
        <f t="shared" si="0"/>
        <v>42270</v>
      </c>
    </row>
    <row r="54" spans="1:18" s="50" customFormat="1">
      <c r="A54" s="50">
        <v>44</v>
      </c>
      <c r="B54" s="58" t="s">
        <v>215</v>
      </c>
      <c r="C54" s="54" t="s">
        <v>86</v>
      </c>
      <c r="D54" s="54">
        <v>0.5</v>
      </c>
      <c r="E54" s="59" t="s">
        <v>248</v>
      </c>
      <c r="F54" s="54" t="s">
        <v>191</v>
      </c>
      <c r="G54" s="53" t="s">
        <v>249</v>
      </c>
      <c r="H54" s="54">
        <v>0.70121999999999995</v>
      </c>
      <c r="I54" s="54" t="s">
        <v>158</v>
      </c>
      <c r="J54" s="249" t="s">
        <v>250</v>
      </c>
      <c r="K54" s="54">
        <v>0.69869999999999999</v>
      </c>
      <c r="L54" s="52"/>
      <c r="M54" s="54" t="s">
        <v>92</v>
      </c>
      <c r="N54" s="55"/>
      <c r="O54" s="56">
        <v>-25.2</v>
      </c>
      <c r="P54" s="50">
        <v>-15129</v>
      </c>
      <c r="Q54" s="57">
        <f t="shared" si="3"/>
        <v>716909</v>
      </c>
      <c r="R54" s="256">
        <f t="shared" si="0"/>
        <v>42271</v>
      </c>
    </row>
    <row r="55" spans="1:18" s="50" customFormat="1">
      <c r="A55" s="50">
        <v>45</v>
      </c>
      <c r="B55" s="58" t="s">
        <v>251</v>
      </c>
      <c r="C55" s="54" t="s">
        <v>99</v>
      </c>
      <c r="D55" s="54">
        <v>0.53</v>
      </c>
      <c r="E55" s="59" t="s">
        <v>252</v>
      </c>
      <c r="F55" s="54" t="s">
        <v>191</v>
      </c>
      <c r="G55" s="53" t="s">
        <v>253</v>
      </c>
      <c r="H55" s="54">
        <v>2.1907199999999998</v>
      </c>
      <c r="I55" s="54" t="s">
        <v>158</v>
      </c>
      <c r="J55" s="249" t="s">
        <v>253</v>
      </c>
      <c r="K55" s="54">
        <v>2.19415</v>
      </c>
      <c r="L55" s="52"/>
      <c r="M55" s="54" t="s">
        <v>92</v>
      </c>
      <c r="N55" s="55"/>
      <c r="O55" s="56">
        <v>-34.299999999999997</v>
      </c>
      <c r="P55" s="50">
        <v>-15201</v>
      </c>
      <c r="Q55" s="57">
        <f t="shared" si="3"/>
        <v>701708</v>
      </c>
      <c r="R55" s="256">
        <f t="shared" si="0"/>
        <v>42271</v>
      </c>
    </row>
    <row r="56" spans="1:18" s="50" customFormat="1">
      <c r="A56" s="50">
        <v>46</v>
      </c>
      <c r="B56" s="58" t="s">
        <v>254</v>
      </c>
      <c r="C56" s="54" t="s">
        <v>99</v>
      </c>
      <c r="D56" s="54">
        <v>0.24</v>
      </c>
      <c r="E56" s="59" t="s">
        <v>255</v>
      </c>
      <c r="F56" s="54" t="s">
        <v>191</v>
      </c>
      <c r="G56" s="53" t="s">
        <v>256</v>
      </c>
      <c r="H56" s="54">
        <v>1.61243</v>
      </c>
      <c r="I56" s="54" t="s">
        <v>158</v>
      </c>
      <c r="J56" s="249" t="s">
        <v>257</v>
      </c>
      <c r="K56" s="54">
        <v>1.61276</v>
      </c>
      <c r="L56" s="52" t="s">
        <v>103</v>
      </c>
      <c r="M56" s="54" t="s">
        <v>104</v>
      </c>
      <c r="N56" s="55"/>
      <c r="O56" s="56">
        <v>-3.3</v>
      </c>
      <c r="P56" s="50">
        <v>-661</v>
      </c>
      <c r="Q56" s="57">
        <f t="shared" si="3"/>
        <v>701047</v>
      </c>
      <c r="R56" s="256">
        <f t="shared" si="0"/>
        <v>42271</v>
      </c>
    </row>
    <row r="57" spans="1:18" s="50" customFormat="1">
      <c r="A57" s="50">
        <v>47</v>
      </c>
      <c r="B57" s="58" t="s">
        <v>182</v>
      </c>
      <c r="C57" s="54" t="s">
        <v>86</v>
      </c>
      <c r="D57" s="54">
        <v>0.45</v>
      </c>
      <c r="E57" s="59" t="s">
        <v>248</v>
      </c>
      <c r="F57" s="54" t="s">
        <v>191</v>
      </c>
      <c r="G57" s="53" t="s">
        <v>258</v>
      </c>
      <c r="H57" s="54">
        <v>1.5231699999999999</v>
      </c>
      <c r="I57" s="54" t="s">
        <v>158</v>
      </c>
      <c r="J57" s="249" t="s">
        <v>259</v>
      </c>
      <c r="K57" s="54">
        <v>1.52013</v>
      </c>
      <c r="L57" s="52"/>
      <c r="M57" s="54" t="s">
        <v>92</v>
      </c>
      <c r="N57" s="55"/>
      <c r="O57" s="56">
        <v>-30.4</v>
      </c>
      <c r="P57" s="50">
        <v>-16528</v>
      </c>
      <c r="Q57" s="57">
        <f t="shared" si="3"/>
        <v>684519</v>
      </c>
      <c r="R57" s="256">
        <f t="shared" si="0"/>
        <v>42272</v>
      </c>
    </row>
    <row r="58" spans="1:18" s="50" customFormat="1">
      <c r="A58" s="50">
        <v>48</v>
      </c>
      <c r="B58" s="58" t="s">
        <v>203</v>
      </c>
      <c r="C58" s="54" t="s">
        <v>86</v>
      </c>
      <c r="D58" s="54">
        <v>0.91</v>
      </c>
      <c r="E58" s="59" t="s">
        <v>260</v>
      </c>
      <c r="F58" s="54" t="s">
        <v>191</v>
      </c>
      <c r="G58" s="53" t="s">
        <v>261</v>
      </c>
      <c r="H58" s="54">
        <v>90.366</v>
      </c>
      <c r="I58" s="54" t="s">
        <v>158</v>
      </c>
      <c r="J58" s="249" t="s">
        <v>262</v>
      </c>
      <c r="K58" s="54">
        <v>90.472999999999999</v>
      </c>
      <c r="L58" s="52" t="s">
        <v>263</v>
      </c>
      <c r="M58" s="54" t="s">
        <v>125</v>
      </c>
      <c r="N58" s="55">
        <v>10.7</v>
      </c>
      <c r="O58" s="56"/>
      <c r="P58" s="50">
        <v>9737</v>
      </c>
      <c r="Q58" s="57">
        <f t="shared" si="3"/>
        <v>694256</v>
      </c>
      <c r="R58" s="256">
        <f t="shared" si="0"/>
        <v>42272</v>
      </c>
    </row>
    <row r="59" spans="1:18" s="50" customFormat="1">
      <c r="B59" s="58"/>
      <c r="C59" s="54"/>
      <c r="D59" s="54"/>
      <c r="E59" s="59"/>
      <c r="F59" s="54"/>
      <c r="G59" s="53"/>
      <c r="H59" s="54"/>
      <c r="I59" s="54"/>
      <c r="J59" s="249"/>
      <c r="K59" s="54"/>
      <c r="L59" s="52"/>
      <c r="M59" s="60" t="s">
        <v>264</v>
      </c>
      <c r="N59" s="55">
        <f>SUM(N46:N58)</f>
        <v>183.2</v>
      </c>
      <c r="O59" s="56">
        <f>SUM(O46:O58)</f>
        <v>-179.30000000000004</v>
      </c>
      <c r="P59" s="50">
        <f>SUM(P46:P58)</f>
        <v>44124</v>
      </c>
      <c r="Q59" s="57"/>
      <c r="R59" s="256" t="str">
        <f t="shared" si="0"/>
        <v/>
      </c>
    </row>
    <row r="60" spans="1:18" s="50" customFormat="1">
      <c r="B60" s="51" t="s">
        <v>265</v>
      </c>
      <c r="C60" s="54"/>
      <c r="D60" s="54"/>
      <c r="E60" s="59"/>
      <c r="F60" s="54"/>
      <c r="G60" s="53"/>
      <c r="H60" s="54"/>
      <c r="I60" s="54"/>
      <c r="J60" s="249"/>
      <c r="K60" s="54"/>
      <c r="L60" s="52"/>
      <c r="M60" s="54"/>
      <c r="N60" s="55"/>
      <c r="O60" s="56"/>
      <c r="Q60" s="57"/>
      <c r="R60" s="256" t="str">
        <f t="shared" si="0"/>
        <v/>
      </c>
    </row>
    <row r="61" spans="1:18" s="50" customFormat="1">
      <c r="A61" s="50">
        <v>49</v>
      </c>
      <c r="B61" s="58" t="s">
        <v>215</v>
      </c>
      <c r="C61" s="54" t="s">
        <v>86</v>
      </c>
      <c r="D61" s="54">
        <v>2.1</v>
      </c>
      <c r="E61" s="59" t="s">
        <v>266</v>
      </c>
      <c r="F61" s="54" t="s">
        <v>191</v>
      </c>
      <c r="G61" s="53" t="s">
        <v>267</v>
      </c>
      <c r="H61" s="54">
        <v>0.69916999999999996</v>
      </c>
      <c r="I61" s="50" t="s">
        <v>268</v>
      </c>
      <c r="J61" s="249" t="s">
        <v>267</v>
      </c>
      <c r="K61" s="54">
        <v>0.69823000000000002</v>
      </c>
      <c r="L61" s="59" t="s">
        <v>185</v>
      </c>
      <c r="M61" s="61" t="s">
        <v>104</v>
      </c>
      <c r="N61" s="55"/>
      <c r="O61" s="56">
        <v>-9.4</v>
      </c>
      <c r="P61" s="50">
        <v>-1513</v>
      </c>
      <c r="Q61" s="57">
        <f>Q49+P61</f>
        <v>639462</v>
      </c>
      <c r="R61" s="256">
        <f t="shared" si="0"/>
        <v>42275</v>
      </c>
    </row>
    <row r="62" spans="1:18" s="50" customFormat="1">
      <c r="A62" s="50">
        <v>50</v>
      </c>
      <c r="B62" s="58" t="s">
        <v>215</v>
      </c>
      <c r="C62" s="54" t="s">
        <v>86</v>
      </c>
      <c r="D62" s="54">
        <v>2.1</v>
      </c>
      <c r="E62" s="59"/>
      <c r="F62" s="54" t="s">
        <v>158</v>
      </c>
      <c r="G62" s="53" t="s">
        <v>267</v>
      </c>
      <c r="H62" s="54">
        <v>0.69916999999999996</v>
      </c>
      <c r="I62" s="50" t="s">
        <v>268</v>
      </c>
      <c r="J62" s="249" t="s">
        <v>267</v>
      </c>
      <c r="K62" s="54">
        <v>0.69811999999999996</v>
      </c>
      <c r="L62" s="52"/>
      <c r="M62" s="61" t="s">
        <v>92</v>
      </c>
      <c r="N62" s="55"/>
      <c r="O62" s="56">
        <v>-10.5</v>
      </c>
      <c r="P62" s="50">
        <v>-27030</v>
      </c>
      <c r="Q62" s="57">
        <f t="shared" ref="Q62:Q68" si="4">Q61+P62</f>
        <v>612432</v>
      </c>
      <c r="R62" s="256">
        <f t="shared" si="0"/>
        <v>42275</v>
      </c>
    </row>
    <row r="63" spans="1:18" s="50" customFormat="1">
      <c r="A63" s="50">
        <v>51</v>
      </c>
      <c r="B63" s="58" t="s">
        <v>215</v>
      </c>
      <c r="C63" s="54" t="s">
        <v>86</v>
      </c>
      <c r="D63" s="54">
        <v>0.88</v>
      </c>
      <c r="E63" s="59" t="s">
        <v>269</v>
      </c>
      <c r="F63" s="54" t="s">
        <v>158</v>
      </c>
      <c r="G63" s="53" t="s">
        <v>267</v>
      </c>
      <c r="H63" s="54">
        <v>0.69972999999999996</v>
      </c>
      <c r="I63" s="54" t="s">
        <v>268</v>
      </c>
      <c r="J63" s="249" t="s">
        <v>270</v>
      </c>
      <c r="K63" s="54">
        <v>0.69793000000000005</v>
      </c>
      <c r="L63" s="52"/>
      <c r="M63" s="61" t="s">
        <v>92</v>
      </c>
      <c r="N63" s="55"/>
      <c r="O63" s="56">
        <v>-18</v>
      </c>
      <c r="P63" s="50">
        <v>-19268</v>
      </c>
      <c r="Q63" s="57">
        <f t="shared" si="4"/>
        <v>593164</v>
      </c>
      <c r="R63" s="256">
        <f t="shared" si="0"/>
        <v>42275</v>
      </c>
    </row>
    <row r="64" spans="1:18" s="50" customFormat="1">
      <c r="A64" s="50">
        <v>52</v>
      </c>
      <c r="B64" s="58" t="s">
        <v>93</v>
      </c>
      <c r="C64" s="54" t="s">
        <v>99</v>
      </c>
      <c r="D64" s="54">
        <v>0.82</v>
      </c>
      <c r="E64" s="52" t="s">
        <v>271</v>
      </c>
      <c r="F64" s="54" t="s">
        <v>158</v>
      </c>
      <c r="G64" s="53" t="s">
        <v>272</v>
      </c>
      <c r="H64" s="54">
        <v>0.74153999999999998</v>
      </c>
      <c r="I64" s="54" t="s">
        <v>158</v>
      </c>
      <c r="J64" s="249" t="s">
        <v>273</v>
      </c>
      <c r="K64" s="54">
        <v>0.74134</v>
      </c>
      <c r="L64" s="59" t="s">
        <v>103</v>
      </c>
      <c r="M64" s="61" t="s">
        <v>104</v>
      </c>
      <c r="N64" s="55">
        <v>2</v>
      </c>
      <c r="O64" s="56"/>
      <c r="P64" s="50">
        <v>2977</v>
      </c>
      <c r="Q64" s="57">
        <f t="shared" si="4"/>
        <v>596141</v>
      </c>
      <c r="R64" s="256">
        <f t="shared" si="0"/>
        <v>42276</v>
      </c>
    </row>
    <row r="65" spans="1:18" s="50" customFormat="1">
      <c r="A65" s="50">
        <v>53</v>
      </c>
      <c r="B65" s="58" t="s">
        <v>93</v>
      </c>
      <c r="C65" s="54" t="s">
        <v>99</v>
      </c>
      <c r="D65" s="54">
        <v>0.5</v>
      </c>
      <c r="E65" s="52" t="s">
        <v>271</v>
      </c>
      <c r="F65" s="54" t="s">
        <v>191</v>
      </c>
      <c r="G65" s="53" t="s">
        <v>274</v>
      </c>
      <c r="H65" s="54">
        <v>0.74197000000000002</v>
      </c>
      <c r="I65" s="54" t="s">
        <v>158</v>
      </c>
      <c r="J65" s="250" t="s">
        <v>275</v>
      </c>
      <c r="K65" s="54">
        <v>0.73699999999999999</v>
      </c>
      <c r="L65" s="59" t="s">
        <v>276</v>
      </c>
      <c r="M65" s="61" t="s">
        <v>125</v>
      </c>
      <c r="N65" s="55">
        <v>49.7</v>
      </c>
      <c r="O65" s="56"/>
      <c r="P65" s="50">
        <v>45139</v>
      </c>
      <c r="Q65" s="57">
        <f t="shared" si="4"/>
        <v>641280</v>
      </c>
      <c r="R65" s="256">
        <f t="shared" si="0"/>
        <v>42277</v>
      </c>
    </row>
    <row r="66" spans="1:18" s="50" customFormat="1">
      <c r="A66" s="50">
        <v>54</v>
      </c>
      <c r="B66" s="58" t="s">
        <v>277</v>
      </c>
      <c r="C66" s="54" t="s">
        <v>99</v>
      </c>
      <c r="D66" s="54">
        <v>0.99</v>
      </c>
      <c r="E66" s="52" t="s">
        <v>278</v>
      </c>
      <c r="F66" s="54" t="s">
        <v>191</v>
      </c>
      <c r="G66" s="53" t="s">
        <v>279</v>
      </c>
      <c r="H66" s="54">
        <v>76.942999999999998</v>
      </c>
      <c r="I66" s="54" t="s">
        <v>158</v>
      </c>
      <c r="J66" s="250" t="s">
        <v>280</v>
      </c>
      <c r="K66" s="54">
        <v>77.253</v>
      </c>
      <c r="L66" s="52"/>
      <c r="M66" s="61" t="s">
        <v>92</v>
      </c>
      <c r="N66" s="55"/>
      <c r="O66" s="56">
        <v>-31</v>
      </c>
      <c r="P66" s="50">
        <v>-30690</v>
      </c>
      <c r="Q66" s="57">
        <f t="shared" si="4"/>
        <v>610590</v>
      </c>
      <c r="R66" s="256">
        <f t="shared" si="0"/>
        <v>42278</v>
      </c>
    </row>
    <row r="67" spans="1:18" s="50" customFormat="1">
      <c r="A67" s="50">
        <v>55</v>
      </c>
      <c r="B67" s="58" t="s">
        <v>236</v>
      </c>
      <c r="C67" s="54" t="s">
        <v>86</v>
      </c>
      <c r="D67" s="54">
        <v>0.8</v>
      </c>
      <c r="E67" s="52" t="s">
        <v>281</v>
      </c>
      <c r="F67" s="54" t="s">
        <v>191</v>
      </c>
      <c r="G67" s="53" t="s">
        <v>282</v>
      </c>
      <c r="H67" s="54">
        <v>1.48153</v>
      </c>
      <c r="I67" s="54" t="s">
        <v>158</v>
      </c>
      <c r="J67" s="250" t="s">
        <v>283</v>
      </c>
      <c r="K67" s="54">
        <v>1.4814799999999999</v>
      </c>
      <c r="L67" s="52" t="s">
        <v>103</v>
      </c>
      <c r="M67" s="61" t="s">
        <v>104</v>
      </c>
      <c r="N67" s="55"/>
      <c r="O67" s="56">
        <v>-0.5</v>
      </c>
      <c r="P67" s="50">
        <v>-362</v>
      </c>
      <c r="Q67" s="57">
        <f t="shared" si="4"/>
        <v>610228</v>
      </c>
      <c r="R67" s="256">
        <f t="shared" ref="R67:R168" si="5">IF(G67&lt;&gt;"",DATEVALUE(LEFT(G67,4)&amp;"/"&amp;MID(G67,6,2)&amp;"/"&amp;MID(G67,9,2)),"")</f>
        <v>42278</v>
      </c>
    </row>
    <row r="68" spans="1:18" s="50" customFormat="1">
      <c r="A68" s="50">
        <v>56</v>
      </c>
      <c r="B68" s="58" t="s">
        <v>239</v>
      </c>
      <c r="C68" s="54" t="s">
        <v>86</v>
      </c>
      <c r="D68" s="54">
        <v>0.7</v>
      </c>
      <c r="E68" s="52" t="s">
        <v>278</v>
      </c>
      <c r="F68" s="54" t="s">
        <v>191</v>
      </c>
      <c r="G68" s="53" t="s">
        <v>284</v>
      </c>
      <c r="H68" s="54">
        <v>1.3238399999999999</v>
      </c>
      <c r="I68" s="54" t="s">
        <v>158</v>
      </c>
      <c r="J68" s="250" t="s">
        <v>285</v>
      </c>
      <c r="K68" s="54">
        <v>1.32334</v>
      </c>
      <c r="L68" s="52" t="s">
        <v>185</v>
      </c>
      <c r="M68" s="61" t="s">
        <v>92</v>
      </c>
      <c r="N68" s="55"/>
      <c r="O68" s="56">
        <v>-5</v>
      </c>
      <c r="P68" s="50">
        <v>-3182</v>
      </c>
      <c r="Q68" s="57">
        <f t="shared" si="4"/>
        <v>607046</v>
      </c>
      <c r="R68" s="256">
        <f t="shared" si="5"/>
        <v>42279</v>
      </c>
    </row>
    <row r="69" spans="1:18" s="50" customFormat="1">
      <c r="B69" s="58"/>
      <c r="E69" s="52"/>
      <c r="G69" s="53"/>
      <c r="J69" s="249"/>
      <c r="L69" s="52"/>
      <c r="M69" s="60" t="s">
        <v>286</v>
      </c>
      <c r="N69" s="55">
        <f>SUM(N64:N68)</f>
        <v>51.7</v>
      </c>
      <c r="O69" s="56">
        <f>SUM(O61:O68)</f>
        <v>-74.400000000000006</v>
      </c>
      <c r="P69" s="54">
        <f>SUM(P61:P68)</f>
        <v>-33929</v>
      </c>
      <c r="Q69" s="57"/>
      <c r="R69" s="256" t="str">
        <f t="shared" si="5"/>
        <v/>
      </c>
    </row>
    <row r="70" spans="1:18" s="50" customFormat="1">
      <c r="B70" s="58"/>
      <c r="E70" s="52"/>
      <c r="G70" s="53"/>
      <c r="J70" s="249"/>
      <c r="L70" s="52"/>
      <c r="N70" s="55"/>
      <c r="O70" s="56"/>
      <c r="Q70" s="57"/>
      <c r="R70" s="256" t="str">
        <f t="shared" si="5"/>
        <v/>
      </c>
    </row>
    <row r="71" spans="1:18" s="50" customFormat="1" ht="14.25" thickBot="1">
      <c r="B71" s="58"/>
      <c r="E71" s="52"/>
      <c r="G71" s="53"/>
      <c r="J71" s="249"/>
      <c r="L71" s="52"/>
      <c r="N71" s="55"/>
      <c r="O71" s="198" t="s">
        <v>287</v>
      </c>
      <c r="P71" s="199">
        <f>SUM(P61:P68,P46:P58,P33:P43,P26:P30,P15:P22)</f>
        <v>-34813</v>
      </c>
      <c r="Q71" s="200">
        <v>607046</v>
      </c>
      <c r="R71" s="256" t="str">
        <f t="shared" si="5"/>
        <v/>
      </c>
    </row>
    <row r="72" spans="1:18" s="50" customFormat="1" ht="14.25" thickTop="1">
      <c r="B72" s="58"/>
      <c r="E72" s="52"/>
      <c r="G72" s="53"/>
      <c r="J72" s="249"/>
      <c r="L72" s="52"/>
      <c r="N72" s="55"/>
      <c r="O72" s="56"/>
      <c r="Q72" s="57"/>
      <c r="R72" s="256" t="str">
        <f t="shared" si="5"/>
        <v/>
      </c>
    </row>
    <row r="73" spans="1:18" s="50" customFormat="1">
      <c r="B73" s="51" t="s">
        <v>377</v>
      </c>
      <c r="E73" s="52"/>
      <c r="G73" s="53"/>
      <c r="J73" s="249"/>
      <c r="L73" s="52"/>
      <c r="N73" s="55"/>
      <c r="O73" s="56"/>
      <c r="Q73" s="57"/>
      <c r="R73" s="256" t="str">
        <f t="shared" si="5"/>
        <v/>
      </c>
    </row>
    <row r="74" spans="1:18" s="50" customFormat="1">
      <c r="A74" s="50">
        <v>57</v>
      </c>
      <c r="B74" s="58" t="s">
        <v>336</v>
      </c>
      <c r="C74" s="50" t="s">
        <v>340</v>
      </c>
      <c r="D74" s="50">
        <v>1</v>
      </c>
      <c r="E74" s="52" t="s">
        <v>331</v>
      </c>
      <c r="F74" s="54" t="s">
        <v>191</v>
      </c>
      <c r="G74" s="53" t="s">
        <v>342</v>
      </c>
      <c r="H74" s="50">
        <v>0.65203999999999995</v>
      </c>
      <c r="J74" s="249" t="s">
        <v>347</v>
      </c>
      <c r="K74" s="50">
        <v>0.65334999999999999</v>
      </c>
      <c r="L74" s="52"/>
      <c r="M74" s="61" t="s">
        <v>349</v>
      </c>
      <c r="N74" s="55"/>
      <c r="O74" s="56">
        <v>-13.1</v>
      </c>
      <c r="P74" s="50">
        <v>-15753</v>
      </c>
      <c r="Q74" s="57">
        <f>Q68+P74</f>
        <v>591293</v>
      </c>
      <c r="R74" s="256">
        <f t="shared" si="5"/>
        <v>42283</v>
      </c>
    </row>
    <row r="75" spans="1:18" s="50" customFormat="1">
      <c r="A75" s="50">
        <v>58</v>
      </c>
      <c r="B75" s="58" t="s">
        <v>337</v>
      </c>
      <c r="C75" s="50" t="s">
        <v>341</v>
      </c>
      <c r="D75" s="50">
        <v>0.81</v>
      </c>
      <c r="E75" s="52" t="s">
        <v>332</v>
      </c>
      <c r="F75" s="50" t="s">
        <v>90</v>
      </c>
      <c r="G75" s="53" t="s">
        <v>343</v>
      </c>
      <c r="H75" s="50">
        <v>1.3086100000000001</v>
      </c>
      <c r="J75" s="249" t="s">
        <v>342</v>
      </c>
      <c r="K75" s="50">
        <v>1.30627</v>
      </c>
      <c r="L75" s="52"/>
      <c r="M75" s="61" t="s">
        <v>349</v>
      </c>
      <c r="N75" s="55"/>
      <c r="O75" s="56">
        <v>-23.4</v>
      </c>
      <c r="P75" s="50">
        <v>-17473</v>
      </c>
      <c r="Q75" s="57">
        <f t="shared" ref="Q75:Q78" si="6">Q74+P75</f>
        <v>573820</v>
      </c>
      <c r="R75" s="256">
        <f t="shared" si="5"/>
        <v>42283</v>
      </c>
    </row>
    <row r="76" spans="1:18" s="50" customFormat="1">
      <c r="A76" s="54">
        <v>59</v>
      </c>
      <c r="B76" s="61" t="s">
        <v>338</v>
      </c>
      <c r="C76" s="54" t="s">
        <v>340</v>
      </c>
      <c r="D76" s="54">
        <v>0.5</v>
      </c>
      <c r="E76" s="59" t="s">
        <v>353</v>
      </c>
      <c r="F76" s="54" t="s">
        <v>191</v>
      </c>
      <c r="G76" s="53" t="s">
        <v>344</v>
      </c>
      <c r="H76" s="54">
        <v>85.95</v>
      </c>
      <c r="I76" s="54"/>
      <c r="J76" s="251" t="s">
        <v>504</v>
      </c>
      <c r="K76" s="54">
        <v>86.286000000000001</v>
      </c>
      <c r="L76" s="59"/>
      <c r="M76" s="61" t="s">
        <v>349</v>
      </c>
      <c r="N76" s="63"/>
      <c r="O76" s="56">
        <v>-33.6</v>
      </c>
      <c r="P76" s="50">
        <v>-16800</v>
      </c>
      <c r="Q76" s="57">
        <f t="shared" si="6"/>
        <v>557020</v>
      </c>
      <c r="R76" s="256">
        <f t="shared" si="5"/>
        <v>42284</v>
      </c>
    </row>
    <row r="77" spans="1:18" s="50" customFormat="1">
      <c r="A77" s="54">
        <v>60</v>
      </c>
      <c r="B77" s="61" t="s">
        <v>339</v>
      </c>
      <c r="C77" s="54" t="s">
        <v>341</v>
      </c>
      <c r="D77" s="54">
        <v>0.65</v>
      </c>
      <c r="E77" s="59" t="s">
        <v>353</v>
      </c>
      <c r="F77" s="54" t="s">
        <v>191</v>
      </c>
      <c r="G77" s="62" t="s">
        <v>345</v>
      </c>
      <c r="H77" s="54">
        <v>1.5152399999999999</v>
      </c>
      <c r="I77" s="54" t="s">
        <v>346</v>
      </c>
      <c r="J77" s="251" t="s">
        <v>348</v>
      </c>
      <c r="K77" s="54">
        <v>1.5290900000000001</v>
      </c>
      <c r="L77" s="59" t="s">
        <v>351</v>
      </c>
      <c r="M77" s="61" t="s">
        <v>350</v>
      </c>
      <c r="N77" s="63">
        <v>138.5</v>
      </c>
      <c r="O77" s="56"/>
      <c r="P77" s="54">
        <v>108007</v>
      </c>
      <c r="Q77" s="57">
        <f t="shared" si="6"/>
        <v>665027</v>
      </c>
      <c r="R77" s="256">
        <f t="shared" si="5"/>
        <v>42279</v>
      </c>
    </row>
    <row r="78" spans="1:18" s="50" customFormat="1">
      <c r="A78" s="50">
        <v>61</v>
      </c>
      <c r="B78" s="58" t="s">
        <v>354</v>
      </c>
      <c r="C78" s="54" t="s">
        <v>86</v>
      </c>
      <c r="D78" s="54">
        <v>0.8</v>
      </c>
      <c r="E78" s="52" t="s">
        <v>352</v>
      </c>
      <c r="F78" s="54" t="s">
        <v>191</v>
      </c>
      <c r="G78" s="53" t="s">
        <v>355</v>
      </c>
      <c r="H78" s="54">
        <v>1.08813</v>
      </c>
      <c r="J78" s="249" t="s">
        <v>356</v>
      </c>
      <c r="K78" s="54">
        <v>1.0854299999999999</v>
      </c>
      <c r="L78" s="52" t="s">
        <v>357</v>
      </c>
      <c r="M78" s="61" t="s">
        <v>358</v>
      </c>
      <c r="N78" s="55"/>
      <c r="O78" s="56">
        <v>-27</v>
      </c>
      <c r="P78" s="50">
        <v>-17316</v>
      </c>
      <c r="Q78" s="57">
        <f t="shared" si="6"/>
        <v>647711</v>
      </c>
      <c r="R78" s="256">
        <f t="shared" si="5"/>
        <v>42285</v>
      </c>
    </row>
    <row r="79" spans="1:18" s="50" customFormat="1">
      <c r="B79" s="58"/>
      <c r="C79" s="54"/>
      <c r="D79" s="54"/>
      <c r="E79" s="52"/>
      <c r="F79" s="54"/>
      <c r="G79" s="53"/>
      <c r="H79" s="54"/>
      <c r="J79" s="249"/>
      <c r="K79" s="54"/>
      <c r="L79" s="52"/>
      <c r="M79" s="60" t="s">
        <v>378</v>
      </c>
      <c r="N79" s="55">
        <v>138.5</v>
      </c>
      <c r="O79" s="56">
        <f>SUM(O74:O78)</f>
        <v>-97.1</v>
      </c>
      <c r="P79" s="50">
        <f>SUM(P74:P78)</f>
        <v>40665</v>
      </c>
      <c r="Q79" s="57"/>
      <c r="R79" s="256" t="str">
        <f t="shared" si="5"/>
        <v/>
      </c>
    </row>
    <row r="80" spans="1:18" s="50" customFormat="1">
      <c r="B80" s="51" t="s">
        <v>381</v>
      </c>
      <c r="C80" s="54"/>
      <c r="D80" s="54"/>
      <c r="E80" s="52"/>
      <c r="F80" s="54"/>
      <c r="G80" s="53"/>
      <c r="H80" s="54"/>
      <c r="J80" s="249"/>
      <c r="K80" s="54"/>
      <c r="L80" s="52"/>
      <c r="M80" s="61"/>
      <c r="N80" s="55"/>
      <c r="O80" s="56"/>
      <c r="Q80" s="57"/>
      <c r="R80" s="256" t="str">
        <f t="shared" si="5"/>
        <v/>
      </c>
    </row>
    <row r="81" spans="1:18" s="50" customFormat="1">
      <c r="A81" s="50">
        <v>62</v>
      </c>
      <c r="B81" s="58" t="s">
        <v>382</v>
      </c>
      <c r="C81" s="54" t="s">
        <v>384</v>
      </c>
      <c r="D81" s="54">
        <v>0.4</v>
      </c>
      <c r="E81" s="52" t="s">
        <v>387</v>
      </c>
      <c r="F81" s="54" t="s">
        <v>386</v>
      </c>
      <c r="G81" s="53" t="s">
        <v>395</v>
      </c>
      <c r="H81" s="54">
        <v>1.55331</v>
      </c>
      <c r="J81" s="249" t="s">
        <v>401</v>
      </c>
      <c r="K81" s="54">
        <v>1.54196</v>
      </c>
      <c r="L81" s="52" t="s">
        <v>424</v>
      </c>
      <c r="M81" s="61" t="s">
        <v>404</v>
      </c>
      <c r="N81" s="55">
        <v>113.5</v>
      </c>
      <c r="O81" s="56"/>
      <c r="P81" s="50">
        <v>40151</v>
      </c>
      <c r="Q81" s="57">
        <f>Q78+P81</f>
        <v>687862</v>
      </c>
      <c r="R81" s="256">
        <f t="shared" si="5"/>
        <v>42289</v>
      </c>
    </row>
    <row r="82" spans="1:18" s="50" customFormat="1">
      <c r="A82" s="50">
        <v>63</v>
      </c>
      <c r="B82" s="58" t="s">
        <v>383</v>
      </c>
      <c r="C82" s="54" t="s">
        <v>385</v>
      </c>
      <c r="D82" s="54">
        <v>0.66</v>
      </c>
      <c r="E82" s="52" t="s">
        <v>388</v>
      </c>
      <c r="F82" s="54" t="s">
        <v>389</v>
      </c>
      <c r="G82" s="53" t="s">
        <v>396</v>
      </c>
      <c r="H82" s="54">
        <v>80.721999999999994</v>
      </c>
      <c r="J82" s="249" t="s">
        <v>403</v>
      </c>
      <c r="K82" s="54">
        <v>78.716999999999999</v>
      </c>
      <c r="L82" s="52" t="s">
        <v>423</v>
      </c>
      <c r="M82" s="61" t="s">
        <v>404</v>
      </c>
      <c r="N82" s="55">
        <v>20.05</v>
      </c>
      <c r="O82" s="56"/>
      <c r="P82" s="50">
        <v>25608</v>
      </c>
      <c r="Q82" s="57">
        <f t="shared" ref="Q82:Q88" si="7">Q81+P82</f>
        <v>713470</v>
      </c>
      <c r="R82" s="256">
        <f t="shared" si="5"/>
        <v>42289</v>
      </c>
    </row>
    <row r="83" spans="1:18" s="50" customFormat="1">
      <c r="A83" s="50">
        <v>64</v>
      </c>
      <c r="B83" s="58" t="s">
        <v>383</v>
      </c>
      <c r="C83" s="54" t="s">
        <v>385</v>
      </c>
      <c r="D83" s="54">
        <v>0.4</v>
      </c>
      <c r="E83" s="52" t="s">
        <v>391</v>
      </c>
      <c r="F83" s="54" t="s">
        <v>390</v>
      </c>
      <c r="G83" s="53" t="s">
        <v>397</v>
      </c>
      <c r="H83" s="54">
        <v>80.295000000000002</v>
      </c>
      <c r="J83" s="249" t="s">
        <v>402</v>
      </c>
      <c r="K83" s="54">
        <v>78.216999999999999</v>
      </c>
      <c r="L83" s="52"/>
      <c r="M83" s="61" t="s">
        <v>405</v>
      </c>
      <c r="N83" s="55"/>
      <c r="O83" s="56">
        <v>-21</v>
      </c>
      <c r="P83" s="50">
        <v>-20320</v>
      </c>
      <c r="Q83" s="57">
        <f t="shared" si="7"/>
        <v>693150</v>
      </c>
      <c r="R83" s="256">
        <f t="shared" si="5"/>
        <v>42291</v>
      </c>
    </row>
    <row r="84" spans="1:18" s="50" customFormat="1">
      <c r="A84" s="50">
        <v>65</v>
      </c>
      <c r="B84" s="58" t="s">
        <v>392</v>
      </c>
      <c r="C84" s="54" t="s">
        <v>385</v>
      </c>
      <c r="D84" s="54">
        <v>0.02</v>
      </c>
      <c r="E84" s="52" t="s">
        <v>393</v>
      </c>
      <c r="F84" s="54" t="s">
        <v>394</v>
      </c>
      <c r="G84" s="53" t="s">
        <v>398</v>
      </c>
      <c r="H84" s="50">
        <v>2.1348799999999999</v>
      </c>
      <c r="J84" s="249" t="s">
        <v>399</v>
      </c>
      <c r="K84" s="50">
        <v>2.12452</v>
      </c>
      <c r="L84" s="52" t="s">
        <v>423</v>
      </c>
      <c r="M84" s="54" t="s">
        <v>400</v>
      </c>
      <c r="N84" s="55"/>
      <c r="O84" s="56">
        <v>-10.4</v>
      </c>
      <c r="P84" s="50">
        <v>1798</v>
      </c>
      <c r="Q84" s="57">
        <f t="shared" si="7"/>
        <v>694948</v>
      </c>
      <c r="R84" s="256">
        <f t="shared" si="5"/>
        <v>42282</v>
      </c>
    </row>
    <row r="85" spans="1:18" s="50" customFormat="1">
      <c r="A85" s="50">
        <v>66</v>
      </c>
      <c r="B85" s="58" t="s">
        <v>411</v>
      </c>
      <c r="C85" s="54" t="s">
        <v>99</v>
      </c>
      <c r="D85" s="54">
        <v>0.5</v>
      </c>
      <c r="E85" s="52" t="s">
        <v>414</v>
      </c>
      <c r="F85" s="54" t="s">
        <v>386</v>
      </c>
      <c r="G85" s="53" t="s">
        <v>417</v>
      </c>
      <c r="H85" s="50">
        <v>80.691000000000003</v>
      </c>
      <c r="J85" s="249" t="s">
        <v>421</v>
      </c>
      <c r="K85" s="50">
        <v>81.058000000000007</v>
      </c>
      <c r="L85" s="52"/>
      <c r="M85" s="61" t="s">
        <v>92</v>
      </c>
      <c r="N85" s="55"/>
      <c r="O85" s="56">
        <v>-36.700000000000003</v>
      </c>
      <c r="P85" s="50">
        <v>-18350</v>
      </c>
      <c r="Q85" s="57">
        <f t="shared" si="7"/>
        <v>676598</v>
      </c>
      <c r="R85" s="256">
        <f t="shared" si="5"/>
        <v>42291</v>
      </c>
    </row>
    <row r="86" spans="1:18" s="50" customFormat="1">
      <c r="A86" s="50">
        <v>67</v>
      </c>
      <c r="B86" s="58" t="s">
        <v>277</v>
      </c>
      <c r="C86" s="54" t="s">
        <v>99</v>
      </c>
      <c r="D86" s="54">
        <v>0.36</v>
      </c>
      <c r="E86" s="52" t="s">
        <v>388</v>
      </c>
      <c r="F86" s="54" t="s">
        <v>386</v>
      </c>
      <c r="G86" s="53" t="s">
        <v>419</v>
      </c>
      <c r="H86" s="50">
        <v>80.926000000000002</v>
      </c>
      <c r="J86" s="249" t="s">
        <v>421</v>
      </c>
      <c r="K86" s="50">
        <v>81.463999999999999</v>
      </c>
      <c r="L86" s="52"/>
      <c r="M86" s="61" t="s">
        <v>92</v>
      </c>
      <c r="N86" s="55"/>
      <c r="O86" s="56">
        <v>-53.8</v>
      </c>
      <c r="P86" s="50">
        <v>-22004</v>
      </c>
      <c r="Q86" s="57">
        <f t="shared" si="7"/>
        <v>654594</v>
      </c>
      <c r="R86" s="256">
        <f t="shared" si="5"/>
        <v>42292</v>
      </c>
    </row>
    <row r="87" spans="1:18" s="50" customFormat="1">
      <c r="A87" s="50">
        <v>68</v>
      </c>
      <c r="B87" s="58" t="s">
        <v>412</v>
      </c>
      <c r="C87" s="54" t="s">
        <v>99</v>
      </c>
      <c r="D87" s="54">
        <v>1</v>
      </c>
      <c r="E87" s="52" t="s">
        <v>388</v>
      </c>
      <c r="F87" s="54" t="s">
        <v>386</v>
      </c>
      <c r="G87" s="53" t="s">
        <v>418</v>
      </c>
      <c r="H87" s="50">
        <v>0.68064999999999998</v>
      </c>
      <c r="J87" s="249" t="s">
        <v>422</v>
      </c>
      <c r="K87" s="50">
        <v>0.6825</v>
      </c>
      <c r="L87" s="52"/>
      <c r="M87" s="61" t="s">
        <v>92</v>
      </c>
      <c r="N87" s="55"/>
      <c r="O87" s="56">
        <v>-18.5</v>
      </c>
      <c r="P87" s="50">
        <v>-19368</v>
      </c>
      <c r="Q87" s="57">
        <f t="shared" si="7"/>
        <v>635226</v>
      </c>
      <c r="R87" s="256">
        <f t="shared" si="5"/>
        <v>42292</v>
      </c>
    </row>
    <row r="88" spans="1:18" s="50" customFormat="1">
      <c r="A88" s="50">
        <v>69</v>
      </c>
      <c r="B88" s="58" t="s">
        <v>413</v>
      </c>
      <c r="C88" s="54" t="s">
        <v>99</v>
      </c>
      <c r="D88" s="54">
        <v>0.8</v>
      </c>
      <c r="E88" s="52" t="s">
        <v>416</v>
      </c>
      <c r="F88" s="54" t="s">
        <v>389</v>
      </c>
      <c r="G88" s="53" t="s">
        <v>420</v>
      </c>
      <c r="H88" s="50">
        <v>1.1435200000000001</v>
      </c>
      <c r="J88" s="249" t="s">
        <v>420</v>
      </c>
      <c r="K88" s="50">
        <v>1.14547</v>
      </c>
      <c r="L88" s="52"/>
      <c r="M88" s="61" t="s">
        <v>92</v>
      </c>
      <c r="N88" s="55"/>
      <c r="O88" s="56">
        <v>-19.5</v>
      </c>
      <c r="P88" s="50">
        <v>-18456</v>
      </c>
      <c r="Q88" s="57">
        <f t="shared" si="7"/>
        <v>616770</v>
      </c>
      <c r="R88" s="256">
        <f t="shared" si="5"/>
        <v>42292</v>
      </c>
    </row>
    <row r="89" spans="1:18" s="50" customFormat="1">
      <c r="B89" s="58"/>
      <c r="C89" s="54"/>
      <c r="D89" s="54"/>
      <c r="E89" s="52"/>
      <c r="F89" s="54"/>
      <c r="G89" s="53"/>
      <c r="J89" s="249"/>
      <c r="L89" s="52"/>
      <c r="M89" s="60" t="s">
        <v>425</v>
      </c>
      <c r="N89" s="55">
        <f>SUM(N81:N88)</f>
        <v>133.55000000000001</v>
      </c>
      <c r="O89" s="56">
        <f>SUM(O83:O88)</f>
        <v>-159.89999999999998</v>
      </c>
      <c r="P89" s="50">
        <f>SUM(P81:P88)</f>
        <v>-30941</v>
      </c>
      <c r="Q89" s="57"/>
      <c r="R89" s="256" t="str">
        <f t="shared" si="5"/>
        <v/>
      </c>
    </row>
    <row r="90" spans="1:18" s="50" customFormat="1">
      <c r="B90" s="51" t="s">
        <v>507</v>
      </c>
      <c r="C90" s="54"/>
      <c r="D90" s="54"/>
      <c r="E90" s="52"/>
      <c r="F90" s="54"/>
      <c r="G90" s="53"/>
      <c r="J90" s="249"/>
      <c r="L90" s="52"/>
      <c r="M90" s="61"/>
      <c r="N90" s="55"/>
      <c r="O90" s="56"/>
      <c r="Q90" s="57"/>
      <c r="R90" s="256" t="str">
        <f t="shared" si="5"/>
        <v/>
      </c>
    </row>
    <row r="91" spans="1:18" s="50" customFormat="1">
      <c r="A91" s="50">
        <v>70</v>
      </c>
      <c r="B91" s="58" t="s">
        <v>508</v>
      </c>
      <c r="C91" s="50" t="s">
        <v>515</v>
      </c>
      <c r="D91" s="54">
        <v>0.33</v>
      </c>
      <c r="E91" s="52"/>
      <c r="F91" s="54" t="s">
        <v>544</v>
      </c>
      <c r="G91" s="53" t="s">
        <v>517</v>
      </c>
      <c r="H91" s="50">
        <v>0.93823000000000001</v>
      </c>
      <c r="J91" s="53" t="s">
        <v>527</v>
      </c>
      <c r="K91" s="50">
        <v>0.94403999999999999</v>
      </c>
      <c r="L91" s="52"/>
      <c r="M91" s="61" t="s">
        <v>536</v>
      </c>
      <c r="N91" s="55"/>
      <c r="O91" s="56">
        <v>-58.1</v>
      </c>
      <c r="P91" s="50">
        <v>-17613</v>
      </c>
      <c r="Q91" s="57">
        <f>Q88+P91</f>
        <v>599157</v>
      </c>
      <c r="R91" s="256">
        <f t="shared" si="5"/>
        <v>42293</v>
      </c>
    </row>
    <row r="92" spans="1:18" s="50" customFormat="1">
      <c r="A92" s="50">
        <v>71</v>
      </c>
      <c r="B92" s="58" t="s">
        <v>509</v>
      </c>
      <c r="C92" s="50" t="s">
        <v>515</v>
      </c>
      <c r="D92" s="54">
        <v>0.3</v>
      </c>
      <c r="E92" s="52"/>
      <c r="F92" s="54" t="s">
        <v>545</v>
      </c>
      <c r="G92" s="53" t="s">
        <v>518</v>
      </c>
      <c r="H92" s="50">
        <v>81.308999999999997</v>
      </c>
      <c r="J92" s="53" t="s">
        <v>528</v>
      </c>
      <c r="K92" s="50">
        <v>81.802999999999997</v>
      </c>
      <c r="L92" s="52"/>
      <c r="M92" s="61" t="s">
        <v>536</v>
      </c>
      <c r="N92" s="55"/>
      <c r="O92" s="56">
        <v>-49.4</v>
      </c>
      <c r="P92" s="50">
        <v>-14820</v>
      </c>
      <c r="Q92" s="57">
        <f t="shared" ref="Q92:Q100" si="8">Q91+P92</f>
        <v>584337</v>
      </c>
      <c r="R92" s="256">
        <f t="shared" si="5"/>
        <v>42293</v>
      </c>
    </row>
    <row r="93" spans="1:18" s="50" customFormat="1">
      <c r="A93" s="50">
        <v>72</v>
      </c>
      <c r="B93" s="58" t="s">
        <v>510</v>
      </c>
      <c r="C93" s="50" t="s">
        <v>516</v>
      </c>
      <c r="D93" s="54">
        <v>0.49</v>
      </c>
      <c r="E93" s="52"/>
      <c r="F93" s="54" t="s">
        <v>546</v>
      </c>
      <c r="G93" s="53" t="s">
        <v>519</v>
      </c>
      <c r="H93" s="50">
        <v>1.0668200000000001</v>
      </c>
      <c r="J93" s="53" t="s">
        <v>529</v>
      </c>
      <c r="K93" s="50">
        <v>1.08413</v>
      </c>
      <c r="L93" s="52"/>
      <c r="M93" s="61" t="s">
        <v>537</v>
      </c>
      <c r="N93" s="55">
        <v>173.1</v>
      </c>
      <c r="O93" s="56"/>
      <c r="P93" s="50">
        <v>32131</v>
      </c>
      <c r="Q93" s="57">
        <f t="shared" si="8"/>
        <v>616468</v>
      </c>
      <c r="R93" s="256">
        <f t="shared" si="5"/>
        <v>42296</v>
      </c>
    </row>
    <row r="94" spans="1:18" s="50" customFormat="1">
      <c r="A94" s="50">
        <v>73</v>
      </c>
      <c r="B94" s="58" t="s">
        <v>511</v>
      </c>
      <c r="C94" s="50" t="s">
        <v>515</v>
      </c>
      <c r="D94" s="54">
        <v>0.4</v>
      </c>
      <c r="E94" s="52"/>
      <c r="F94" s="54" t="s">
        <v>545</v>
      </c>
      <c r="G94" s="53" t="s">
        <v>520</v>
      </c>
      <c r="H94" s="50">
        <v>0.73497000000000001</v>
      </c>
      <c r="J94" s="53" t="s">
        <v>530</v>
      </c>
      <c r="K94" s="50">
        <v>0.73584000000000005</v>
      </c>
      <c r="L94" s="52"/>
      <c r="M94" s="61" t="s">
        <v>536</v>
      </c>
      <c r="N94" s="55"/>
      <c r="O94" s="56">
        <v>-8.6999999999999993</v>
      </c>
      <c r="P94" s="50">
        <v>-6431</v>
      </c>
      <c r="Q94" s="57">
        <f t="shared" si="8"/>
        <v>610037</v>
      </c>
      <c r="R94" s="256">
        <f t="shared" si="5"/>
        <v>42298</v>
      </c>
    </row>
    <row r="95" spans="1:18" s="50" customFormat="1">
      <c r="A95" s="50">
        <v>74</v>
      </c>
      <c r="B95" s="58" t="s">
        <v>512</v>
      </c>
      <c r="C95" s="50" t="s">
        <v>515</v>
      </c>
      <c r="D95" s="54">
        <v>0.4</v>
      </c>
      <c r="E95" s="52"/>
      <c r="F95" s="54" t="s">
        <v>547</v>
      </c>
      <c r="G95" s="53" t="s">
        <v>521</v>
      </c>
      <c r="H95" s="50">
        <v>185.24799999999999</v>
      </c>
      <c r="J95" s="53" t="s">
        <v>531</v>
      </c>
      <c r="K95" s="50">
        <v>184.816</v>
      </c>
      <c r="L95" s="52"/>
      <c r="M95" s="61" t="s">
        <v>538</v>
      </c>
      <c r="N95" s="55">
        <v>43.2</v>
      </c>
      <c r="O95" s="56"/>
      <c r="P95" s="50">
        <v>17280</v>
      </c>
      <c r="Q95" s="57">
        <f t="shared" si="8"/>
        <v>627317</v>
      </c>
      <c r="R95" s="256">
        <f t="shared" si="5"/>
        <v>42298</v>
      </c>
    </row>
    <row r="96" spans="1:18" s="50" customFormat="1">
      <c r="A96" s="50">
        <v>75</v>
      </c>
      <c r="B96" s="58" t="s">
        <v>510</v>
      </c>
      <c r="C96" s="50" t="s">
        <v>516</v>
      </c>
      <c r="D96" s="54">
        <v>0.35</v>
      </c>
      <c r="E96" s="52"/>
      <c r="F96" s="54" t="s">
        <v>549</v>
      </c>
      <c r="G96" s="53" t="s">
        <v>522</v>
      </c>
      <c r="H96" s="50">
        <v>1.0687599999999999</v>
      </c>
      <c r="J96" s="53" t="s">
        <v>532</v>
      </c>
      <c r="K96" s="50">
        <v>1.0629500000000001</v>
      </c>
      <c r="L96" s="52"/>
      <c r="M96" s="61" t="s">
        <v>536</v>
      </c>
      <c r="N96" s="55"/>
      <c r="O96" s="56">
        <v>-58.1</v>
      </c>
      <c r="P96" s="50">
        <v>-16442</v>
      </c>
      <c r="Q96" s="57">
        <f t="shared" si="8"/>
        <v>610875</v>
      </c>
      <c r="R96" s="256">
        <f t="shared" si="5"/>
        <v>42299</v>
      </c>
    </row>
    <row r="97" spans="1:18" s="50" customFormat="1">
      <c r="A97" s="50">
        <v>76</v>
      </c>
      <c r="B97" s="58" t="s">
        <v>513</v>
      </c>
      <c r="C97" s="50" t="s">
        <v>516</v>
      </c>
      <c r="D97" s="54">
        <v>0.5</v>
      </c>
      <c r="E97" s="52"/>
      <c r="F97" s="54" t="s">
        <v>550</v>
      </c>
      <c r="G97" s="53" t="s">
        <v>526</v>
      </c>
      <c r="H97" s="50">
        <v>1.4875</v>
      </c>
      <c r="J97" s="53" t="s">
        <v>526</v>
      </c>
      <c r="K97" s="50">
        <v>1.48794</v>
      </c>
      <c r="L97" s="52"/>
      <c r="M97" s="61" t="s">
        <v>539</v>
      </c>
      <c r="N97" s="55">
        <v>4.4000000000000004</v>
      </c>
      <c r="O97" s="56"/>
      <c r="P97" s="50">
        <v>2736</v>
      </c>
      <c r="Q97" s="57">
        <f t="shared" si="8"/>
        <v>613611</v>
      </c>
      <c r="R97" s="256">
        <f t="shared" si="5"/>
        <v>42299</v>
      </c>
    </row>
    <row r="98" spans="1:18" s="50" customFormat="1">
      <c r="A98" s="50">
        <v>77</v>
      </c>
      <c r="B98" s="58" t="s">
        <v>514</v>
      </c>
      <c r="C98" s="50" t="s">
        <v>516</v>
      </c>
      <c r="D98" s="54">
        <v>0.2</v>
      </c>
      <c r="E98" s="52"/>
      <c r="F98" s="54" t="s">
        <v>550</v>
      </c>
      <c r="G98" s="53" t="s">
        <v>523</v>
      </c>
      <c r="H98" s="50">
        <v>2.2650000000000001</v>
      </c>
      <c r="J98" s="53" t="s">
        <v>533</v>
      </c>
      <c r="K98" s="50">
        <v>2.2557499999999999</v>
      </c>
      <c r="L98" s="52"/>
      <c r="M98" s="61" t="s">
        <v>536</v>
      </c>
      <c r="N98" s="55"/>
      <c r="O98" s="56">
        <v>-92.5</v>
      </c>
      <c r="P98" s="50">
        <v>-15261</v>
      </c>
      <c r="Q98" s="57">
        <f t="shared" si="8"/>
        <v>598350</v>
      </c>
      <c r="R98" s="256">
        <f t="shared" si="5"/>
        <v>42300</v>
      </c>
    </row>
    <row r="99" spans="1:18" s="50" customFormat="1">
      <c r="A99" s="50">
        <v>78</v>
      </c>
      <c r="B99" s="58" t="s">
        <v>512</v>
      </c>
      <c r="C99" s="50" t="s">
        <v>515</v>
      </c>
      <c r="D99" s="54">
        <v>0.4</v>
      </c>
      <c r="E99" s="52"/>
      <c r="F99" s="54" t="s">
        <v>551</v>
      </c>
      <c r="G99" s="53" t="s">
        <v>524</v>
      </c>
      <c r="H99" s="50">
        <v>185.946</v>
      </c>
      <c r="J99" s="53" t="s">
        <v>534</v>
      </c>
      <c r="K99" s="50">
        <v>185.66399999999999</v>
      </c>
      <c r="L99" s="52"/>
      <c r="M99" s="61" t="s">
        <v>538</v>
      </c>
      <c r="N99" s="55">
        <v>28.2</v>
      </c>
      <c r="O99" s="56"/>
      <c r="P99" s="50">
        <v>11280</v>
      </c>
      <c r="Q99" s="57">
        <f t="shared" si="8"/>
        <v>609630</v>
      </c>
      <c r="R99" s="256">
        <f t="shared" si="5"/>
        <v>42300</v>
      </c>
    </row>
    <row r="100" spans="1:18" s="50" customFormat="1">
      <c r="A100" s="50">
        <v>79</v>
      </c>
      <c r="B100" s="58" t="s">
        <v>514</v>
      </c>
      <c r="C100" s="50" t="s">
        <v>516</v>
      </c>
      <c r="D100" s="54">
        <v>0.4</v>
      </c>
      <c r="E100" s="52"/>
      <c r="F100" s="54" t="s">
        <v>552</v>
      </c>
      <c r="G100" s="53" t="s">
        <v>525</v>
      </c>
      <c r="H100" s="50">
        <v>2.2536499999999999</v>
      </c>
      <c r="J100" s="53" t="s">
        <v>535</v>
      </c>
      <c r="K100" s="50">
        <v>2.2487200000000001</v>
      </c>
      <c r="L100" s="52"/>
      <c r="M100" s="61" t="s">
        <v>536</v>
      </c>
      <c r="N100" s="55"/>
      <c r="O100" s="56">
        <v>-49.3</v>
      </c>
      <c r="P100" s="50">
        <v>-16249</v>
      </c>
      <c r="Q100" s="57">
        <f t="shared" si="8"/>
        <v>593381</v>
      </c>
      <c r="R100" s="256">
        <f t="shared" si="5"/>
        <v>42300</v>
      </c>
    </row>
    <row r="101" spans="1:18" s="50" customFormat="1">
      <c r="B101" s="58"/>
      <c r="D101" s="54"/>
      <c r="E101" s="52"/>
      <c r="G101" s="53"/>
      <c r="J101" s="53"/>
      <c r="L101" s="52"/>
      <c r="M101" s="60" t="s">
        <v>540</v>
      </c>
      <c r="N101" s="55">
        <f>SUM(N91:N100)</f>
        <v>248.9</v>
      </c>
      <c r="O101" s="56">
        <f>SUM(O91:O100)</f>
        <v>-316.10000000000002</v>
      </c>
      <c r="P101" s="50">
        <f>SUM(P91:P100)</f>
        <v>-23389</v>
      </c>
      <c r="Q101" s="57"/>
      <c r="R101" s="256"/>
    </row>
    <row r="102" spans="1:18" s="50" customFormat="1">
      <c r="B102" s="51" t="s">
        <v>574</v>
      </c>
      <c r="D102" s="54"/>
      <c r="E102" s="52"/>
      <c r="G102" s="53"/>
      <c r="J102" s="53"/>
      <c r="L102" s="52"/>
      <c r="M102" s="54"/>
      <c r="N102" s="55"/>
      <c r="O102" s="56"/>
      <c r="Q102" s="57"/>
      <c r="R102" s="256"/>
    </row>
    <row r="103" spans="1:18" s="50" customFormat="1">
      <c r="A103" s="54">
        <v>80</v>
      </c>
      <c r="B103" s="61" t="s">
        <v>553</v>
      </c>
      <c r="C103" s="54" t="s">
        <v>559</v>
      </c>
      <c r="D103" s="54">
        <v>0.35</v>
      </c>
      <c r="E103" s="59"/>
      <c r="F103" s="54"/>
      <c r="G103" s="62" t="s">
        <v>562</v>
      </c>
      <c r="H103" s="54">
        <v>185.74700000000001</v>
      </c>
      <c r="I103" s="54"/>
      <c r="J103" s="251"/>
      <c r="K103" s="54">
        <v>185.697</v>
      </c>
      <c r="L103" s="59"/>
      <c r="M103" s="61" t="s">
        <v>572</v>
      </c>
      <c r="N103" s="63">
        <v>0.5</v>
      </c>
      <c r="O103" s="56"/>
      <c r="P103" s="54">
        <v>1750</v>
      </c>
      <c r="Q103" s="57">
        <f>Q100+P103</f>
        <v>595131</v>
      </c>
      <c r="R103" s="256">
        <f t="shared" si="5"/>
        <v>42303</v>
      </c>
    </row>
    <row r="104" spans="1:18" s="50" customFormat="1">
      <c r="A104" s="54">
        <v>81</v>
      </c>
      <c r="B104" s="61" t="s">
        <v>554</v>
      </c>
      <c r="C104" s="54" t="s">
        <v>559</v>
      </c>
      <c r="D104" s="54">
        <v>0.8</v>
      </c>
      <c r="E104" s="59"/>
      <c r="F104" s="54"/>
      <c r="G104" s="62" t="s">
        <v>563</v>
      </c>
      <c r="H104" s="54">
        <v>0.67783000000000004</v>
      </c>
      <c r="I104" s="54"/>
      <c r="J104" s="251"/>
      <c r="K104" s="54">
        <v>0.67923</v>
      </c>
      <c r="L104" s="59"/>
      <c r="M104" s="61" t="s">
        <v>571</v>
      </c>
      <c r="N104" s="63"/>
      <c r="O104" s="56">
        <v>-14</v>
      </c>
      <c r="P104" s="54">
        <v>-13524</v>
      </c>
      <c r="Q104" s="57">
        <f t="shared" ref="Q104:Q111" si="9">Q103+P104</f>
        <v>581607</v>
      </c>
      <c r="R104" s="256">
        <f t="shared" si="5"/>
        <v>42303</v>
      </c>
    </row>
    <row r="105" spans="1:18" s="50" customFormat="1">
      <c r="A105" s="50">
        <v>82</v>
      </c>
      <c r="B105" s="58" t="s">
        <v>555</v>
      </c>
      <c r="C105" s="54" t="s">
        <v>560</v>
      </c>
      <c r="D105" s="54">
        <v>0.3</v>
      </c>
      <c r="E105" s="52"/>
      <c r="G105" s="53" t="s">
        <v>564</v>
      </c>
      <c r="H105" s="54">
        <v>133.48099999999999</v>
      </c>
      <c r="J105" s="249"/>
      <c r="K105" s="54">
        <v>133.10300000000001</v>
      </c>
      <c r="L105" s="52"/>
      <c r="M105" s="61" t="s">
        <v>571</v>
      </c>
      <c r="N105" s="55"/>
      <c r="O105" s="56">
        <v>-37.799999999999997</v>
      </c>
      <c r="P105" s="50">
        <v>-11340</v>
      </c>
      <c r="Q105" s="57">
        <f t="shared" si="9"/>
        <v>570267</v>
      </c>
      <c r="R105" s="256">
        <f t="shared" si="5"/>
        <v>42304</v>
      </c>
    </row>
    <row r="106" spans="1:18" s="50" customFormat="1">
      <c r="A106" s="50">
        <v>83</v>
      </c>
      <c r="B106" s="58" t="s">
        <v>555</v>
      </c>
      <c r="C106" s="54" t="s">
        <v>561</v>
      </c>
      <c r="D106" s="54">
        <v>0.3</v>
      </c>
      <c r="E106" s="52"/>
      <c r="G106" s="53" t="s">
        <v>564</v>
      </c>
      <c r="H106" s="54">
        <v>133.41999999999999</v>
      </c>
      <c r="J106" s="249"/>
      <c r="K106" s="54">
        <v>133.10300000000001</v>
      </c>
      <c r="L106" s="52"/>
      <c r="M106" s="61" t="s">
        <v>571</v>
      </c>
      <c r="N106" s="55"/>
      <c r="O106" s="56">
        <v>-31.7</v>
      </c>
      <c r="P106" s="50">
        <v>-9510</v>
      </c>
      <c r="Q106" s="57">
        <f t="shared" si="9"/>
        <v>560757</v>
      </c>
      <c r="R106" s="256">
        <f t="shared" si="5"/>
        <v>42304</v>
      </c>
    </row>
    <row r="107" spans="1:18" s="50" customFormat="1">
      <c r="A107" s="50">
        <v>84</v>
      </c>
      <c r="B107" s="58" t="s">
        <v>556</v>
      </c>
      <c r="C107" s="54" t="s">
        <v>559</v>
      </c>
      <c r="D107" s="54">
        <v>0.4</v>
      </c>
      <c r="E107" s="52"/>
      <c r="G107" s="53" t="s">
        <v>565</v>
      </c>
      <c r="H107" s="54">
        <v>0.98494999999999999</v>
      </c>
      <c r="J107" s="249"/>
      <c r="K107" s="54">
        <v>0.98656999999999995</v>
      </c>
      <c r="L107" s="52"/>
      <c r="M107" s="61" t="s">
        <v>571</v>
      </c>
      <c r="N107" s="55"/>
      <c r="O107" s="56">
        <v>-16.2</v>
      </c>
      <c r="P107" s="50">
        <v>-7932</v>
      </c>
      <c r="Q107" s="57">
        <f t="shared" si="9"/>
        <v>552825</v>
      </c>
      <c r="R107" s="256">
        <f t="shared" si="5"/>
        <v>42305</v>
      </c>
    </row>
    <row r="108" spans="1:18" s="50" customFormat="1">
      <c r="A108" s="50">
        <v>85</v>
      </c>
      <c r="B108" s="58" t="s">
        <v>553</v>
      </c>
      <c r="C108" s="54" t="s">
        <v>559</v>
      </c>
      <c r="D108" s="54">
        <v>0.5</v>
      </c>
      <c r="E108" s="52"/>
      <c r="G108" s="53" t="s">
        <v>566</v>
      </c>
      <c r="H108" s="54">
        <v>184.245</v>
      </c>
      <c r="J108" s="249"/>
      <c r="K108" s="54">
        <v>184.44800000000001</v>
      </c>
      <c r="L108" s="52"/>
      <c r="M108" s="61" t="s">
        <v>571</v>
      </c>
      <c r="N108" s="55"/>
      <c r="O108" s="56">
        <v>-20.3</v>
      </c>
      <c r="P108" s="50">
        <v>-10150</v>
      </c>
      <c r="Q108" s="57">
        <f t="shared" si="9"/>
        <v>542675</v>
      </c>
      <c r="R108" s="256">
        <f t="shared" si="5"/>
        <v>42305</v>
      </c>
    </row>
    <row r="109" spans="1:18" s="50" customFormat="1">
      <c r="A109" s="50">
        <v>86</v>
      </c>
      <c r="B109" s="58" t="s">
        <v>553</v>
      </c>
      <c r="C109" s="54" t="s">
        <v>561</v>
      </c>
      <c r="D109" s="54">
        <v>0.4</v>
      </c>
      <c r="E109" s="52"/>
      <c r="G109" s="53" t="s">
        <v>567</v>
      </c>
      <c r="H109" s="54">
        <v>184.16399999999999</v>
      </c>
      <c r="J109" s="249"/>
      <c r="K109" s="54">
        <v>184.333</v>
      </c>
      <c r="L109" s="52"/>
      <c r="M109" s="61" t="s">
        <v>570</v>
      </c>
      <c r="N109" s="55">
        <v>16.899999999999999</v>
      </c>
      <c r="O109" s="56"/>
      <c r="P109" s="50">
        <v>6767</v>
      </c>
      <c r="Q109" s="57">
        <f t="shared" si="9"/>
        <v>549442</v>
      </c>
      <c r="R109" s="256">
        <f t="shared" si="5"/>
        <v>42305</v>
      </c>
    </row>
    <row r="110" spans="1:18" s="50" customFormat="1">
      <c r="A110" s="50">
        <v>87</v>
      </c>
      <c r="B110" s="58" t="s">
        <v>557</v>
      </c>
      <c r="C110" s="54" t="s">
        <v>561</v>
      </c>
      <c r="D110" s="54">
        <v>0.26</v>
      </c>
      <c r="E110" s="52"/>
      <c r="G110" s="53" t="s">
        <v>568</v>
      </c>
      <c r="H110" s="54">
        <v>122.42700000000001</v>
      </c>
      <c r="J110" s="249"/>
      <c r="K110" s="54">
        <v>121.806</v>
      </c>
      <c r="L110" s="52"/>
      <c r="M110" s="61" t="s">
        <v>571</v>
      </c>
      <c r="N110" s="55"/>
      <c r="O110" s="56">
        <v>-62.1</v>
      </c>
      <c r="P110" s="50">
        <v>-16146</v>
      </c>
      <c r="Q110" s="57">
        <f t="shared" si="9"/>
        <v>533296</v>
      </c>
      <c r="R110" s="256">
        <f t="shared" si="5"/>
        <v>42306</v>
      </c>
    </row>
    <row r="111" spans="1:18" s="50" customFormat="1">
      <c r="A111" s="50">
        <v>88</v>
      </c>
      <c r="B111" s="58" t="s">
        <v>558</v>
      </c>
      <c r="C111" s="54" t="s">
        <v>559</v>
      </c>
      <c r="D111" s="54">
        <v>0.3</v>
      </c>
      <c r="E111" s="52"/>
      <c r="G111" s="53" t="s">
        <v>569</v>
      </c>
      <c r="H111" s="54">
        <v>1.0575600000000001</v>
      </c>
      <c r="J111" s="249"/>
      <c r="K111" s="54">
        <v>1.05599</v>
      </c>
      <c r="L111" s="52"/>
      <c r="M111" s="61" t="s">
        <v>572</v>
      </c>
      <c r="N111" s="55">
        <v>15.7</v>
      </c>
      <c r="O111" s="56"/>
      <c r="P111" s="50">
        <v>3845</v>
      </c>
      <c r="Q111" s="57">
        <f t="shared" si="9"/>
        <v>537141</v>
      </c>
      <c r="R111" s="256">
        <f t="shared" si="5"/>
        <v>42307</v>
      </c>
    </row>
    <row r="112" spans="1:18" s="50" customFormat="1">
      <c r="B112" s="58"/>
      <c r="E112" s="52"/>
      <c r="G112" s="53"/>
      <c r="J112" s="249"/>
      <c r="L112" s="52"/>
      <c r="M112" s="60" t="s">
        <v>573</v>
      </c>
      <c r="N112" s="55">
        <f>SUM(N103:N111)</f>
        <v>33.099999999999994</v>
      </c>
      <c r="O112" s="56">
        <f>SUM(O103:O111)</f>
        <v>-182.1</v>
      </c>
      <c r="P112" s="50">
        <f>SUM(P103:P111)</f>
        <v>-56240</v>
      </c>
      <c r="Q112" s="57"/>
      <c r="R112" s="256"/>
    </row>
    <row r="113" spans="1:18" s="50" customFormat="1">
      <c r="B113" s="51" t="s">
        <v>591</v>
      </c>
      <c r="E113" s="52"/>
      <c r="G113" s="53"/>
      <c r="J113" s="249"/>
      <c r="L113" s="52"/>
      <c r="N113" s="55"/>
      <c r="O113" s="56"/>
      <c r="Q113" s="57"/>
      <c r="R113" s="256"/>
    </row>
    <row r="114" spans="1:18" s="50" customFormat="1">
      <c r="A114" s="50">
        <v>89</v>
      </c>
      <c r="B114" s="58" t="s">
        <v>592</v>
      </c>
      <c r="C114" s="50" t="s">
        <v>593</v>
      </c>
      <c r="D114" s="50">
        <v>0.5</v>
      </c>
      <c r="E114" s="52" t="s">
        <v>606</v>
      </c>
      <c r="F114" s="50" t="s">
        <v>599</v>
      </c>
      <c r="G114" s="53" t="s">
        <v>594</v>
      </c>
      <c r="H114" s="50">
        <v>1.5439799999999999</v>
      </c>
      <c r="I114" s="50" t="s">
        <v>597</v>
      </c>
      <c r="J114" s="249" t="s">
        <v>596</v>
      </c>
      <c r="K114" s="50">
        <v>1.54541</v>
      </c>
      <c r="L114" s="52" t="s">
        <v>598</v>
      </c>
      <c r="M114" s="61" t="s">
        <v>595</v>
      </c>
      <c r="N114" s="55">
        <v>14.3</v>
      </c>
      <c r="O114" s="56"/>
      <c r="P114" s="50">
        <v>8623</v>
      </c>
      <c r="Q114" s="57">
        <f>Q111+P114</f>
        <v>545764</v>
      </c>
      <c r="R114" s="256"/>
    </row>
    <row r="115" spans="1:18" s="50" customFormat="1">
      <c r="A115" s="50">
        <v>90</v>
      </c>
      <c r="B115" s="58" t="s">
        <v>600</v>
      </c>
      <c r="C115" s="50" t="s">
        <v>601</v>
      </c>
      <c r="D115" s="50">
        <v>0.5</v>
      </c>
      <c r="E115" s="52" t="s">
        <v>607</v>
      </c>
      <c r="F115" s="50" t="s">
        <v>602</v>
      </c>
      <c r="G115" s="53" t="s">
        <v>603</v>
      </c>
      <c r="H115" s="50">
        <v>0.98509000000000002</v>
      </c>
      <c r="J115" s="249" t="s">
        <v>604</v>
      </c>
      <c r="K115" s="50">
        <v>0.98002999999999996</v>
      </c>
      <c r="L115" s="52"/>
      <c r="M115" s="61" t="s">
        <v>605</v>
      </c>
      <c r="N115" s="55"/>
      <c r="O115" s="56">
        <v>-50.6</v>
      </c>
      <c r="P115" s="50">
        <v>-12483</v>
      </c>
      <c r="Q115" s="57">
        <f t="shared" ref="Q115:Q121" si="10">Q114+P115</f>
        <v>533281</v>
      </c>
      <c r="R115" s="256"/>
    </row>
    <row r="116" spans="1:18" s="50" customFormat="1">
      <c r="A116" s="50">
        <v>91</v>
      </c>
      <c r="B116" s="58" t="s">
        <v>608</v>
      </c>
      <c r="C116" s="50" t="s">
        <v>99</v>
      </c>
      <c r="D116" s="50">
        <v>0.34</v>
      </c>
      <c r="E116" s="52" t="s">
        <v>618</v>
      </c>
      <c r="F116" s="50" t="s">
        <v>619</v>
      </c>
      <c r="G116" s="53" t="s">
        <v>610</v>
      </c>
      <c r="H116" s="50">
        <v>185.92500000000001</v>
      </c>
      <c r="J116" s="249" t="s">
        <v>613</v>
      </c>
      <c r="K116" s="50">
        <v>186.363</v>
      </c>
      <c r="L116" s="52"/>
      <c r="M116" s="61" t="s">
        <v>92</v>
      </c>
      <c r="N116" s="55"/>
      <c r="O116" s="56">
        <v>-43.8</v>
      </c>
      <c r="P116" s="50">
        <v>-14892</v>
      </c>
      <c r="Q116" s="57">
        <f t="shared" si="10"/>
        <v>518389</v>
      </c>
      <c r="R116" s="256"/>
    </row>
    <row r="117" spans="1:18" s="50" customFormat="1">
      <c r="A117" s="50">
        <v>92</v>
      </c>
      <c r="B117" s="58" t="s">
        <v>609</v>
      </c>
      <c r="C117" s="50" t="s">
        <v>99</v>
      </c>
      <c r="D117" s="50">
        <v>0.1</v>
      </c>
      <c r="E117" s="52" t="s">
        <v>620</v>
      </c>
      <c r="F117" s="50" t="s">
        <v>622</v>
      </c>
      <c r="G117" s="53" t="s">
        <v>611</v>
      </c>
      <c r="H117" s="50">
        <v>1.54138</v>
      </c>
      <c r="J117" s="249" t="s">
        <v>614</v>
      </c>
      <c r="K117" s="50">
        <v>1.5416300000000001</v>
      </c>
      <c r="L117" s="52" t="s">
        <v>624</v>
      </c>
      <c r="M117" s="61" t="s">
        <v>104</v>
      </c>
      <c r="N117" s="55"/>
      <c r="O117" s="56">
        <v>-2.5</v>
      </c>
      <c r="P117" s="50">
        <v>-303</v>
      </c>
      <c r="Q117" s="57">
        <f t="shared" si="10"/>
        <v>518086</v>
      </c>
      <c r="R117" s="256"/>
    </row>
    <row r="118" spans="1:18" s="50" customFormat="1">
      <c r="A118" s="50">
        <v>93</v>
      </c>
      <c r="B118" s="58" t="s">
        <v>609</v>
      </c>
      <c r="C118" s="50" t="s">
        <v>99</v>
      </c>
      <c r="D118" s="50">
        <v>1.5</v>
      </c>
      <c r="E118" s="52" t="s">
        <v>621</v>
      </c>
      <c r="F118" s="50" t="s">
        <v>622</v>
      </c>
      <c r="G118" s="53" t="s">
        <v>611</v>
      </c>
      <c r="H118" s="50">
        <v>1.5397799999999999</v>
      </c>
      <c r="J118" s="249" t="s">
        <v>614</v>
      </c>
      <c r="K118" s="50">
        <v>1.5416300000000001</v>
      </c>
      <c r="L118" s="52" t="s">
        <v>624</v>
      </c>
      <c r="M118" s="61" t="s">
        <v>104</v>
      </c>
      <c r="N118" s="55"/>
      <c r="O118" s="56">
        <v>-18.5</v>
      </c>
      <c r="P118" s="50">
        <v>-3470</v>
      </c>
      <c r="Q118" s="57">
        <f t="shared" si="10"/>
        <v>514616</v>
      </c>
      <c r="R118" s="256"/>
    </row>
    <row r="119" spans="1:18" s="50" customFormat="1">
      <c r="A119" s="50">
        <v>94</v>
      </c>
      <c r="B119" s="58" t="s">
        <v>616</v>
      </c>
      <c r="C119" s="50" t="s">
        <v>86</v>
      </c>
      <c r="D119" s="50">
        <v>0.2</v>
      </c>
      <c r="E119" s="52" t="s">
        <v>623</v>
      </c>
      <c r="F119" s="50" t="s">
        <v>622</v>
      </c>
      <c r="G119" s="53" t="s">
        <v>612</v>
      </c>
      <c r="H119" s="50">
        <v>1.43015</v>
      </c>
      <c r="J119" s="249" t="s">
        <v>615</v>
      </c>
      <c r="K119" s="50">
        <v>1.42655</v>
      </c>
      <c r="L119" s="52"/>
      <c r="M119" s="61" t="s">
        <v>92</v>
      </c>
      <c r="N119" s="55"/>
      <c r="O119" s="56">
        <v>-36</v>
      </c>
      <c r="P119" s="50">
        <v>-6676</v>
      </c>
      <c r="Q119" s="57">
        <f t="shared" si="10"/>
        <v>507940</v>
      </c>
      <c r="R119" s="256"/>
    </row>
    <row r="120" spans="1:18" s="50" customFormat="1">
      <c r="A120" s="50">
        <v>95</v>
      </c>
      <c r="B120" s="58" t="s">
        <v>236</v>
      </c>
      <c r="C120" s="50" t="s">
        <v>86</v>
      </c>
      <c r="D120" s="50">
        <v>0.2</v>
      </c>
      <c r="E120" s="52" t="s">
        <v>633</v>
      </c>
      <c r="F120" s="50" t="s">
        <v>90</v>
      </c>
      <c r="G120" s="53" t="s">
        <v>634</v>
      </c>
      <c r="H120" s="50">
        <v>1.4296199999999999</v>
      </c>
      <c r="J120" s="249" t="s">
        <v>635</v>
      </c>
      <c r="K120" s="50">
        <v>1.42517</v>
      </c>
      <c r="L120" s="52"/>
      <c r="M120" s="61" t="s">
        <v>92</v>
      </c>
      <c r="N120" s="55"/>
      <c r="O120" s="56">
        <v>-44.5</v>
      </c>
      <c r="P120" s="50">
        <v>-8249</v>
      </c>
      <c r="Q120" s="57">
        <f t="shared" si="10"/>
        <v>499691</v>
      </c>
      <c r="R120" s="256"/>
    </row>
    <row r="121" spans="1:18" s="50" customFormat="1">
      <c r="A121" s="50">
        <v>96</v>
      </c>
      <c r="B121" s="58" t="s">
        <v>625</v>
      </c>
      <c r="C121" s="50" t="s">
        <v>99</v>
      </c>
      <c r="D121" s="50">
        <v>0.21</v>
      </c>
      <c r="E121" s="52" t="s">
        <v>637</v>
      </c>
      <c r="F121" s="50" t="s">
        <v>626</v>
      </c>
      <c r="G121" s="53" t="s">
        <v>627</v>
      </c>
      <c r="H121" s="50">
        <v>184.87</v>
      </c>
      <c r="I121" s="50" t="s">
        <v>638</v>
      </c>
      <c r="J121" s="249" t="s">
        <v>628</v>
      </c>
      <c r="K121" s="50">
        <v>184.66300000000001</v>
      </c>
      <c r="L121" s="52" t="s">
        <v>630</v>
      </c>
      <c r="M121" s="61" t="s">
        <v>629</v>
      </c>
      <c r="N121" s="55">
        <v>20.7</v>
      </c>
      <c r="O121" s="56"/>
      <c r="P121" s="50">
        <v>4347</v>
      </c>
      <c r="Q121" s="57">
        <f t="shared" si="10"/>
        <v>504038</v>
      </c>
      <c r="R121" s="256"/>
    </row>
    <row r="122" spans="1:18" s="50" customFormat="1">
      <c r="B122" s="58"/>
      <c r="E122" s="52"/>
      <c r="G122" s="53"/>
      <c r="J122" s="249"/>
      <c r="L122" s="52"/>
      <c r="M122" s="60" t="s">
        <v>636</v>
      </c>
      <c r="N122" s="55">
        <f>SUM(N114:N121)</f>
        <v>35</v>
      </c>
      <c r="O122" s="56">
        <f>SUM(O115:O121)</f>
        <v>-195.9</v>
      </c>
      <c r="P122" s="50">
        <f>SUM(P114:P121)</f>
        <v>-33103</v>
      </c>
      <c r="Q122" s="57"/>
      <c r="R122" s="256"/>
    </row>
    <row r="123" spans="1:18">
      <c r="B123" s="72" t="s">
        <v>690</v>
      </c>
      <c r="J123" s="252"/>
      <c r="O123" s="70"/>
      <c r="R123" s="169"/>
    </row>
    <row r="124" spans="1:18">
      <c r="A124">
        <v>97</v>
      </c>
      <c r="B124" s="2" t="s">
        <v>648</v>
      </c>
      <c r="C124" t="s">
        <v>651</v>
      </c>
      <c r="D124">
        <v>0.15</v>
      </c>
      <c r="G124" s="65" t="s">
        <v>653</v>
      </c>
      <c r="H124">
        <v>1.5090399999999999</v>
      </c>
      <c r="J124" s="252" t="s">
        <v>657</v>
      </c>
      <c r="K124">
        <v>1.5089399999999999</v>
      </c>
      <c r="L124" s="67" t="s">
        <v>663</v>
      </c>
      <c r="M124" s="73" t="s">
        <v>661</v>
      </c>
      <c r="O124" s="70">
        <v>-1</v>
      </c>
      <c r="P124">
        <v>-185</v>
      </c>
      <c r="Q124" s="71">
        <f>Q121+P124</f>
        <v>503853</v>
      </c>
      <c r="R124" s="169"/>
    </row>
    <row r="125" spans="1:18">
      <c r="A125">
        <v>98</v>
      </c>
      <c r="B125" s="2" t="s">
        <v>649</v>
      </c>
      <c r="C125" t="s">
        <v>652</v>
      </c>
      <c r="D125">
        <v>0.2</v>
      </c>
      <c r="G125" s="65" t="s">
        <v>654</v>
      </c>
      <c r="H125">
        <v>1.0749299999999999</v>
      </c>
      <c r="J125" s="252" t="s">
        <v>658</v>
      </c>
      <c r="K125">
        <v>1.07585</v>
      </c>
      <c r="L125" s="67" t="s">
        <v>663</v>
      </c>
      <c r="M125" s="73" t="s">
        <v>661</v>
      </c>
      <c r="O125" s="70">
        <v>-9.1999999999999993</v>
      </c>
      <c r="P125">
        <v>-2266</v>
      </c>
      <c r="Q125" s="71">
        <f t="shared" ref="Q125:Q132" si="11">Q124+P125</f>
        <v>501587</v>
      </c>
      <c r="R125" s="169"/>
    </row>
    <row r="126" spans="1:18">
      <c r="A126">
        <v>99</v>
      </c>
      <c r="B126" s="2" t="s">
        <v>649</v>
      </c>
      <c r="C126" t="s">
        <v>652</v>
      </c>
      <c r="D126">
        <v>0.15</v>
      </c>
      <c r="G126" s="65" t="s">
        <v>655</v>
      </c>
      <c r="H126">
        <v>1.07233</v>
      </c>
      <c r="J126" s="252" t="s">
        <v>659</v>
      </c>
      <c r="K126">
        <v>1.0715399999999999</v>
      </c>
      <c r="L126" s="67" t="s">
        <v>663</v>
      </c>
      <c r="M126" s="73" t="s">
        <v>661</v>
      </c>
      <c r="N126" s="69">
        <v>7.9</v>
      </c>
      <c r="O126" s="70"/>
      <c r="P126">
        <v>1458</v>
      </c>
      <c r="Q126" s="71">
        <f t="shared" si="11"/>
        <v>503045</v>
      </c>
      <c r="R126" s="169"/>
    </row>
    <row r="127" spans="1:18">
      <c r="A127">
        <v>100</v>
      </c>
      <c r="B127" s="2" t="s">
        <v>650</v>
      </c>
      <c r="C127" t="s">
        <v>651</v>
      </c>
      <c r="D127">
        <v>0.37</v>
      </c>
      <c r="G127" s="65" t="s">
        <v>656</v>
      </c>
      <c r="H127">
        <v>0.70406999999999997</v>
      </c>
      <c r="J127" s="252" t="s">
        <v>660</v>
      </c>
      <c r="K127">
        <v>0.70491999999999999</v>
      </c>
      <c r="L127" s="67" t="s">
        <v>663</v>
      </c>
      <c r="M127" s="73" t="s">
        <v>662</v>
      </c>
      <c r="N127" s="69">
        <v>8.5</v>
      </c>
      <c r="O127" s="70"/>
      <c r="P127">
        <v>3871</v>
      </c>
      <c r="Q127" s="71">
        <f t="shared" si="11"/>
        <v>506916</v>
      </c>
      <c r="R127" s="169"/>
    </row>
    <row r="128" spans="1:18">
      <c r="A128">
        <v>101</v>
      </c>
      <c r="B128" s="2" t="s">
        <v>666</v>
      </c>
      <c r="C128" t="s">
        <v>86</v>
      </c>
      <c r="D128">
        <v>0.17</v>
      </c>
      <c r="G128" s="65" t="s">
        <v>667</v>
      </c>
      <c r="H128">
        <v>1.4273400000000001</v>
      </c>
      <c r="J128" s="252" t="s">
        <v>668</v>
      </c>
      <c r="K128">
        <v>1.41896</v>
      </c>
      <c r="M128" s="73" t="s">
        <v>669</v>
      </c>
      <c r="O128" s="70">
        <v>-83.8</v>
      </c>
      <c r="P128">
        <v>-13203</v>
      </c>
      <c r="Q128" s="71">
        <f t="shared" si="11"/>
        <v>493713</v>
      </c>
      <c r="R128" s="169"/>
    </row>
    <row r="129" spans="1:18">
      <c r="A129">
        <v>102</v>
      </c>
      <c r="B129" s="2" t="s">
        <v>670</v>
      </c>
      <c r="C129" t="s">
        <v>99</v>
      </c>
      <c r="D129">
        <v>0.5</v>
      </c>
      <c r="G129" s="65" t="s">
        <v>673</v>
      </c>
      <c r="H129">
        <v>1.00193</v>
      </c>
      <c r="J129" s="252" t="s">
        <v>676</v>
      </c>
      <c r="K129">
        <v>1.00193</v>
      </c>
      <c r="M129" s="73" t="s">
        <v>104</v>
      </c>
      <c r="N129" s="69">
        <v>0</v>
      </c>
      <c r="O129" s="70"/>
      <c r="P129">
        <v>0</v>
      </c>
      <c r="Q129" s="71">
        <f t="shared" si="11"/>
        <v>493713</v>
      </c>
      <c r="R129" s="169"/>
    </row>
    <row r="130" spans="1:18">
      <c r="A130">
        <v>103</v>
      </c>
      <c r="B130" s="2" t="s">
        <v>671</v>
      </c>
      <c r="C130" t="s">
        <v>86</v>
      </c>
      <c r="D130">
        <v>0.6</v>
      </c>
      <c r="G130" s="65" t="s">
        <v>674</v>
      </c>
      <c r="H130">
        <v>1.07988</v>
      </c>
      <c r="J130" s="252" t="s">
        <v>677</v>
      </c>
      <c r="K130">
        <v>1.0781099999999999</v>
      </c>
      <c r="M130" s="73" t="s">
        <v>669</v>
      </c>
      <c r="O130" s="70">
        <v>-17.7</v>
      </c>
      <c r="P130">
        <v>-13021</v>
      </c>
      <c r="Q130" s="71">
        <f t="shared" si="11"/>
        <v>480692</v>
      </c>
      <c r="R130" s="169"/>
    </row>
    <row r="131" spans="1:18">
      <c r="A131">
        <v>104</v>
      </c>
      <c r="B131" s="2" t="s">
        <v>672</v>
      </c>
      <c r="C131" t="s">
        <v>86</v>
      </c>
      <c r="D131">
        <v>0.3</v>
      </c>
      <c r="G131" s="65" t="s">
        <v>675</v>
      </c>
      <c r="H131">
        <v>87.606999999999999</v>
      </c>
      <c r="J131" s="252" t="s">
        <v>678</v>
      </c>
      <c r="K131">
        <v>87.197000000000003</v>
      </c>
      <c r="M131" s="73" t="s">
        <v>669</v>
      </c>
      <c r="O131" s="70">
        <v>-41</v>
      </c>
      <c r="P131">
        <v>-12300</v>
      </c>
      <c r="Q131" s="71">
        <f t="shared" si="11"/>
        <v>468392</v>
      </c>
      <c r="R131" s="169"/>
    </row>
    <row r="132" spans="1:18">
      <c r="A132">
        <v>105</v>
      </c>
      <c r="B132" s="2" t="s">
        <v>686</v>
      </c>
      <c r="C132" t="s">
        <v>86</v>
      </c>
      <c r="D132">
        <v>0.3</v>
      </c>
      <c r="G132" s="65" t="s">
        <v>687</v>
      </c>
      <c r="H132">
        <v>122.94199999999999</v>
      </c>
      <c r="J132" s="252" t="s">
        <v>688</v>
      </c>
      <c r="K132">
        <v>122.792</v>
      </c>
      <c r="M132" s="73" t="s">
        <v>92</v>
      </c>
      <c r="O132" s="70">
        <v>-0.15</v>
      </c>
      <c r="P132">
        <v>-4500</v>
      </c>
      <c r="Q132" s="71">
        <f t="shared" si="11"/>
        <v>463892</v>
      </c>
      <c r="R132" s="169"/>
    </row>
    <row r="133" spans="1:18">
      <c r="J133" s="252"/>
      <c r="M133" s="68" t="s">
        <v>689</v>
      </c>
      <c r="N133" s="69">
        <f>SUM(N124:N131)</f>
        <v>16.399999999999999</v>
      </c>
      <c r="O133" s="70">
        <f>SUM(O124:O132)</f>
        <v>-152.85</v>
      </c>
      <c r="P133">
        <f>SUM(P124:P132)</f>
        <v>-40146</v>
      </c>
      <c r="R133" s="169"/>
    </row>
    <row r="134" spans="1:18">
      <c r="J134" s="252"/>
      <c r="M134" s="68"/>
      <c r="O134" s="70"/>
      <c r="R134" s="169"/>
    </row>
    <row r="135" spans="1:18">
      <c r="A135">
        <v>106</v>
      </c>
      <c r="J135" s="252"/>
      <c r="O135" s="70"/>
      <c r="R135" s="169"/>
    </row>
    <row r="136" spans="1:18">
      <c r="A136">
        <v>107</v>
      </c>
      <c r="J136" s="252"/>
      <c r="O136" s="70"/>
      <c r="R136" s="169"/>
    </row>
    <row r="137" spans="1:18">
      <c r="A137">
        <v>108</v>
      </c>
      <c r="J137" s="252"/>
      <c r="O137" s="70"/>
      <c r="R137" s="169"/>
    </row>
    <row r="138" spans="1:18">
      <c r="A138">
        <v>109</v>
      </c>
      <c r="J138" s="252"/>
      <c r="O138" s="70"/>
      <c r="R138" s="169"/>
    </row>
    <row r="139" spans="1:18">
      <c r="A139">
        <v>110</v>
      </c>
      <c r="J139" s="252"/>
      <c r="O139" s="70"/>
      <c r="R139" s="169"/>
    </row>
    <row r="140" spans="1:18">
      <c r="J140" s="252"/>
      <c r="O140" s="70"/>
      <c r="R140" s="169"/>
    </row>
    <row r="141" spans="1:18">
      <c r="J141" s="252"/>
      <c r="O141" s="70"/>
      <c r="R141" s="169"/>
    </row>
    <row r="142" spans="1:18">
      <c r="J142" s="252"/>
      <c r="O142" s="70"/>
      <c r="R142" s="169"/>
    </row>
    <row r="143" spans="1:18">
      <c r="J143" s="252"/>
      <c r="O143" s="70"/>
      <c r="R143" s="169"/>
    </row>
    <row r="144" spans="1:18">
      <c r="J144" s="252"/>
      <c r="O144" s="70"/>
      <c r="R144" s="169"/>
    </row>
    <row r="145" spans="1:18">
      <c r="J145" s="252"/>
      <c r="O145" s="70"/>
      <c r="R145" s="169"/>
    </row>
    <row r="146" spans="1:18">
      <c r="J146" s="252"/>
      <c r="O146" s="70"/>
      <c r="R146" s="169"/>
    </row>
    <row r="147" spans="1:18">
      <c r="J147" s="252"/>
      <c r="O147" s="70"/>
      <c r="R147" s="169"/>
    </row>
    <row r="148" spans="1:18">
      <c r="J148" s="252"/>
      <c r="O148" s="70"/>
      <c r="R148" s="169"/>
    </row>
    <row r="149" spans="1:18">
      <c r="J149" s="252"/>
      <c r="O149" s="70"/>
      <c r="R149" s="169"/>
    </row>
    <row r="150" spans="1:18">
      <c r="J150" s="252"/>
      <c r="O150" s="70"/>
      <c r="R150" s="169"/>
    </row>
    <row r="151" spans="1:18">
      <c r="J151" s="252"/>
      <c r="O151" s="70"/>
      <c r="R151" s="169"/>
    </row>
    <row r="152" spans="1:18">
      <c r="J152" s="252"/>
      <c r="O152" s="70"/>
      <c r="R152" s="169"/>
    </row>
    <row r="153" spans="1:18">
      <c r="J153" s="252"/>
      <c r="O153" s="70"/>
      <c r="R153" s="169"/>
    </row>
    <row r="154" spans="1:18">
      <c r="J154" s="252"/>
      <c r="O154" s="70"/>
      <c r="R154" s="169"/>
    </row>
    <row r="155" spans="1:18">
      <c r="J155" s="252"/>
      <c r="O155" s="70"/>
      <c r="R155" s="169"/>
    </row>
    <row r="156" spans="1:18">
      <c r="J156" s="252"/>
      <c r="O156" s="70"/>
      <c r="R156" s="169"/>
    </row>
    <row r="157" spans="1:18">
      <c r="A157">
        <v>89</v>
      </c>
      <c r="J157" s="252"/>
      <c r="O157" s="70"/>
      <c r="P157">
        <f t="shared" ref="P157:P168" si="12">D157*SUM(N157,O157)</f>
        <v>0</v>
      </c>
      <c r="Q157" s="71">
        <f t="shared" ref="Q157:Q168" si="13">H157-SUM(K157)</f>
        <v>0</v>
      </c>
      <c r="R157" s="169" t="str">
        <f t="shared" si="5"/>
        <v/>
      </c>
    </row>
    <row r="158" spans="1:18">
      <c r="A158">
        <v>90</v>
      </c>
      <c r="J158" s="252"/>
      <c r="O158" s="70"/>
      <c r="P158">
        <f t="shared" si="12"/>
        <v>0</v>
      </c>
      <c r="Q158" s="71">
        <f t="shared" si="13"/>
        <v>0</v>
      </c>
      <c r="R158" s="169" t="str">
        <f t="shared" si="5"/>
        <v/>
      </c>
    </row>
    <row r="159" spans="1:18">
      <c r="A159">
        <v>91</v>
      </c>
      <c r="J159" s="252"/>
      <c r="O159" s="70"/>
      <c r="P159">
        <f t="shared" si="12"/>
        <v>0</v>
      </c>
      <c r="Q159" s="71">
        <f t="shared" si="13"/>
        <v>0</v>
      </c>
      <c r="R159" s="169" t="str">
        <f t="shared" si="5"/>
        <v/>
      </c>
    </row>
    <row r="160" spans="1:18">
      <c r="A160">
        <v>92</v>
      </c>
      <c r="J160" s="252"/>
      <c r="O160" s="70"/>
      <c r="P160">
        <f t="shared" si="12"/>
        <v>0</v>
      </c>
      <c r="Q160" s="71">
        <f t="shared" si="13"/>
        <v>0</v>
      </c>
      <c r="R160" s="169" t="str">
        <f t="shared" si="5"/>
        <v/>
      </c>
    </row>
    <row r="161" spans="1:18">
      <c r="A161">
        <v>93</v>
      </c>
      <c r="J161" s="252"/>
      <c r="O161" s="70"/>
      <c r="P161">
        <f t="shared" si="12"/>
        <v>0</v>
      </c>
      <c r="Q161" s="71">
        <f t="shared" si="13"/>
        <v>0</v>
      </c>
      <c r="R161" s="169" t="str">
        <f t="shared" si="5"/>
        <v/>
      </c>
    </row>
    <row r="162" spans="1:18">
      <c r="A162">
        <v>94</v>
      </c>
      <c r="J162" s="252"/>
      <c r="O162" s="70"/>
      <c r="P162">
        <f t="shared" si="12"/>
        <v>0</v>
      </c>
      <c r="Q162" s="71">
        <f t="shared" si="13"/>
        <v>0</v>
      </c>
      <c r="R162" s="169" t="str">
        <f t="shared" si="5"/>
        <v/>
      </c>
    </row>
    <row r="163" spans="1:18">
      <c r="A163">
        <v>95</v>
      </c>
      <c r="J163" s="252"/>
      <c r="O163" s="70"/>
      <c r="P163">
        <f t="shared" si="12"/>
        <v>0</v>
      </c>
      <c r="Q163" s="71">
        <f t="shared" si="13"/>
        <v>0</v>
      </c>
      <c r="R163" s="169" t="str">
        <f t="shared" si="5"/>
        <v/>
      </c>
    </row>
    <row r="164" spans="1:18">
      <c r="A164">
        <v>96</v>
      </c>
      <c r="J164" s="252"/>
      <c r="O164" s="70"/>
      <c r="P164">
        <f t="shared" si="12"/>
        <v>0</v>
      </c>
      <c r="Q164" s="71">
        <f t="shared" si="13"/>
        <v>0</v>
      </c>
      <c r="R164" s="169" t="str">
        <f t="shared" si="5"/>
        <v/>
      </c>
    </row>
    <row r="165" spans="1:18">
      <c r="A165">
        <v>97</v>
      </c>
      <c r="J165" s="252"/>
      <c r="O165" s="70"/>
      <c r="P165">
        <f t="shared" si="12"/>
        <v>0</v>
      </c>
      <c r="Q165" s="71">
        <f t="shared" si="13"/>
        <v>0</v>
      </c>
      <c r="R165" s="169" t="str">
        <f t="shared" si="5"/>
        <v/>
      </c>
    </row>
    <row r="166" spans="1:18">
      <c r="A166">
        <v>98</v>
      </c>
      <c r="J166" s="252"/>
      <c r="O166" s="70"/>
      <c r="P166">
        <f t="shared" si="12"/>
        <v>0</v>
      </c>
      <c r="Q166" s="71">
        <f t="shared" si="13"/>
        <v>0</v>
      </c>
      <c r="R166" s="169" t="str">
        <f t="shared" si="5"/>
        <v/>
      </c>
    </row>
    <row r="167" spans="1:18">
      <c r="A167">
        <v>99</v>
      </c>
      <c r="J167" s="252"/>
      <c r="O167" s="70"/>
      <c r="P167">
        <f t="shared" si="12"/>
        <v>0</v>
      </c>
      <c r="Q167" s="71">
        <f t="shared" si="13"/>
        <v>0</v>
      </c>
      <c r="R167" s="169" t="str">
        <f t="shared" si="5"/>
        <v/>
      </c>
    </row>
    <row r="168" spans="1:18">
      <c r="A168">
        <v>100</v>
      </c>
      <c r="C168" s="79"/>
      <c r="D168" s="79"/>
      <c r="E168" s="80"/>
      <c r="F168" s="79"/>
      <c r="G168" s="81"/>
      <c r="H168" s="79"/>
      <c r="I168" s="79"/>
      <c r="J168" s="253"/>
      <c r="K168" s="79"/>
      <c r="L168" s="80"/>
      <c r="M168" s="79"/>
      <c r="N168" s="83"/>
      <c r="O168" s="84"/>
      <c r="P168" s="79">
        <f t="shared" si="12"/>
        <v>0</v>
      </c>
      <c r="Q168" s="85">
        <f t="shared" si="13"/>
        <v>0</v>
      </c>
      <c r="R168" s="169" t="str">
        <f t="shared" si="5"/>
        <v/>
      </c>
    </row>
    <row r="169" spans="1:18">
      <c r="M169" s="86"/>
      <c r="N169" s="69">
        <f>SUM(N104:N168)</f>
        <v>168.5</v>
      </c>
      <c r="O169" s="70">
        <f>SUM(O104:O168)</f>
        <v>-1061.7</v>
      </c>
      <c r="P169">
        <f>SUM(P104:P168)</f>
        <v>-260728</v>
      </c>
    </row>
    <row r="170" spans="1:18" ht="14.25" thickBot="1">
      <c r="A170" s="74"/>
      <c r="B170" s="87"/>
      <c r="C170" s="88"/>
      <c r="D170" s="88"/>
      <c r="E170" s="89"/>
      <c r="F170" s="88"/>
      <c r="G170" s="90"/>
      <c r="H170" s="88"/>
      <c r="I170" s="88"/>
      <c r="J170" s="91"/>
      <c r="K170" s="88"/>
      <c r="L170" s="89"/>
      <c r="M170" s="88"/>
      <c r="N170" s="92"/>
      <c r="O170" s="92"/>
      <c r="P170" s="88"/>
      <c r="Q170" s="75"/>
    </row>
    <row r="171" spans="1:18" ht="14.25" thickTop="1">
      <c r="K171" s="93" t="s">
        <v>288</v>
      </c>
      <c r="L171" s="94"/>
      <c r="M171" s="95"/>
      <c r="N171" s="70">
        <f>SUM(N13,N23,N31,N44,N59,N69,N79,N89,)</f>
        <v>1045.48</v>
      </c>
      <c r="O171" s="70">
        <f>SUM(O13,O23,O31,O44,O59,O69,O79,O89,)</f>
        <v>-1435.1</v>
      </c>
      <c r="P171" s="70">
        <f>SUM(P13,P23,P31,P44,P59,P69,P79,P89,)</f>
        <v>-101845</v>
      </c>
    </row>
    <row r="172" spans="1:18">
      <c r="N172" s="70"/>
      <c r="O172" s="70"/>
    </row>
    <row r="173" spans="1:18" ht="13.5" customHeight="1" thickBot="1"/>
    <row r="174" spans="1:18" ht="13.5" customHeight="1" thickBot="1">
      <c r="D174" s="274" t="s">
        <v>289</v>
      </c>
      <c r="E174" s="275"/>
      <c r="F174" s="276"/>
      <c r="G174" s="277"/>
      <c r="H174" s="96"/>
      <c r="I174" s="96"/>
      <c r="J174" s="97"/>
      <c r="L174" s="270" t="s">
        <v>290</v>
      </c>
      <c r="M174" s="271"/>
      <c r="N174" s="98" t="s">
        <v>291</v>
      </c>
      <c r="O174" s="99" t="s">
        <v>292</v>
      </c>
    </row>
    <row r="175" spans="1:18">
      <c r="D175" s="100" t="s">
        <v>293</v>
      </c>
      <c r="E175" s="101"/>
      <c r="F175" s="272"/>
      <c r="G175" s="273"/>
      <c r="H175" s="102"/>
      <c r="I175" s="102"/>
      <c r="J175" s="103"/>
      <c r="L175" s="104"/>
      <c r="M175" s="105"/>
      <c r="N175" s="106"/>
      <c r="O175" s="107"/>
      <c r="P175" s="71"/>
    </row>
    <row r="176" spans="1:18">
      <c r="D176" s="108" t="s">
        <v>294</v>
      </c>
      <c r="E176" s="109"/>
      <c r="F176" s="272"/>
      <c r="G176" s="273"/>
      <c r="H176" s="102"/>
      <c r="I176" s="102"/>
      <c r="J176" s="76"/>
      <c r="L176" s="110"/>
      <c r="M176" s="111"/>
      <c r="N176" s="112"/>
      <c r="O176" s="113"/>
    </row>
    <row r="177" spans="4:15">
      <c r="D177" s="108" t="s">
        <v>295</v>
      </c>
      <c r="E177" s="109"/>
      <c r="F177" s="272"/>
      <c r="G177" s="273"/>
      <c r="H177" s="102"/>
      <c r="I177" s="102"/>
      <c r="J177" s="103"/>
      <c r="L177" s="110"/>
      <c r="M177" s="111"/>
      <c r="N177" s="112"/>
      <c r="O177" s="114"/>
    </row>
    <row r="178" spans="4:15">
      <c r="D178" s="108" t="s">
        <v>296</v>
      </c>
      <c r="E178" s="109"/>
      <c r="F178" s="272"/>
      <c r="G178" s="273"/>
      <c r="H178" s="102"/>
      <c r="I178" s="102"/>
      <c r="J178" s="103"/>
      <c r="L178" s="110"/>
      <c r="M178" s="111"/>
      <c r="N178" s="112"/>
      <c r="O178" s="114"/>
    </row>
    <row r="179" spans="4:15">
      <c r="D179" s="108" t="s">
        <v>297</v>
      </c>
      <c r="E179" s="109"/>
      <c r="F179" s="272"/>
      <c r="G179" s="273"/>
      <c r="H179" s="102"/>
      <c r="I179" s="102"/>
      <c r="J179" s="103"/>
      <c r="L179" s="110"/>
      <c r="M179" s="111"/>
      <c r="N179" s="112"/>
      <c r="O179" s="114"/>
    </row>
    <row r="180" spans="4:15">
      <c r="D180" s="108" t="s">
        <v>298</v>
      </c>
      <c r="E180" s="115"/>
      <c r="F180" s="272"/>
      <c r="G180" s="273"/>
      <c r="H180" s="102"/>
      <c r="I180" s="102"/>
      <c r="J180" s="103"/>
      <c r="L180" s="110"/>
      <c r="M180" s="111"/>
      <c r="N180" s="112"/>
      <c r="O180" s="114"/>
    </row>
    <row r="181" spans="4:15">
      <c r="D181" s="108" t="s">
        <v>299</v>
      </c>
      <c r="E181" s="109"/>
      <c r="F181" s="272"/>
      <c r="G181" s="273"/>
      <c r="H181" s="102"/>
      <c r="I181" s="102"/>
      <c r="J181" s="103"/>
      <c r="L181" s="110"/>
      <c r="M181" s="111"/>
      <c r="N181" s="112"/>
      <c r="O181" s="114"/>
    </row>
    <row r="182" spans="4:15">
      <c r="D182" s="116" t="s">
        <v>300</v>
      </c>
      <c r="E182" s="117"/>
      <c r="F182" s="278"/>
      <c r="G182" s="279"/>
      <c r="H182" s="102"/>
      <c r="I182" s="102"/>
      <c r="J182" s="103"/>
      <c r="L182" s="110"/>
      <c r="M182" s="111"/>
      <c r="N182" s="112"/>
      <c r="O182" s="114"/>
    </row>
    <row r="183" spans="4:15">
      <c r="D183" s="108" t="s">
        <v>301</v>
      </c>
      <c r="E183" s="109"/>
      <c r="F183" s="272"/>
      <c r="G183" s="273"/>
      <c r="H183" s="102"/>
      <c r="I183" s="102"/>
      <c r="J183" s="103"/>
      <c r="L183" s="110"/>
      <c r="M183" s="111"/>
      <c r="N183" s="112"/>
      <c r="O183" s="114"/>
    </row>
    <row r="184" spans="4:15">
      <c r="D184" s="108" t="s">
        <v>302</v>
      </c>
      <c r="E184" s="115"/>
      <c r="F184" s="272"/>
      <c r="G184" s="273"/>
      <c r="H184" s="102"/>
      <c r="I184" s="102"/>
      <c r="J184" s="103"/>
      <c r="L184" s="110"/>
      <c r="M184" s="111"/>
      <c r="N184" s="112"/>
      <c r="O184" s="114"/>
    </row>
    <row r="185" spans="4:15">
      <c r="D185" s="108" t="s">
        <v>303</v>
      </c>
      <c r="E185" s="109"/>
      <c r="F185" s="272"/>
      <c r="G185" s="273"/>
      <c r="H185" s="102"/>
      <c r="I185" s="102"/>
      <c r="J185" s="103"/>
      <c r="L185" s="104"/>
      <c r="M185" s="105"/>
      <c r="N185" s="106"/>
      <c r="O185" s="118"/>
    </row>
    <row r="186" spans="4:15">
      <c r="D186" s="108" t="s">
        <v>304</v>
      </c>
      <c r="E186" s="119"/>
      <c r="F186" s="272"/>
      <c r="G186" s="273"/>
      <c r="H186" s="102"/>
      <c r="I186" s="102"/>
      <c r="J186" s="103"/>
      <c r="L186" s="110"/>
      <c r="M186" s="111"/>
      <c r="N186" s="112"/>
      <c r="O186" s="114"/>
    </row>
    <row r="187" spans="4:15">
      <c r="D187" s="108" t="s">
        <v>305</v>
      </c>
      <c r="E187" s="119"/>
      <c r="F187" s="272"/>
      <c r="G187" s="273"/>
      <c r="H187" s="102"/>
      <c r="I187" s="102"/>
      <c r="J187" s="103"/>
      <c r="L187" s="110"/>
      <c r="M187" s="111"/>
      <c r="N187" s="112"/>
      <c r="O187" s="114"/>
    </row>
    <row r="188" spans="4:15">
      <c r="D188" s="108" t="s">
        <v>306</v>
      </c>
      <c r="E188" s="109"/>
      <c r="F188" s="272"/>
      <c r="G188" s="273"/>
      <c r="H188" s="102"/>
      <c r="I188" s="102"/>
      <c r="J188" s="103"/>
      <c r="L188" s="110"/>
      <c r="M188" s="111"/>
      <c r="N188" s="112"/>
      <c r="O188" s="114"/>
    </row>
    <row r="189" spans="4:15">
      <c r="D189" s="108" t="s">
        <v>307</v>
      </c>
      <c r="E189" s="109"/>
      <c r="F189" s="272"/>
      <c r="G189" s="273"/>
      <c r="H189" s="102"/>
      <c r="I189" s="102"/>
      <c r="J189" s="103"/>
      <c r="L189" s="110"/>
      <c r="M189" s="111"/>
      <c r="N189" s="112"/>
      <c r="O189" s="114"/>
    </row>
    <row r="190" spans="4:15">
      <c r="D190" s="108" t="s">
        <v>308</v>
      </c>
      <c r="E190" s="120"/>
      <c r="F190" s="272"/>
      <c r="G190" s="273"/>
      <c r="H190" s="102"/>
      <c r="I190" s="102"/>
      <c r="J190" s="103"/>
      <c r="L190" s="110"/>
      <c r="M190" s="111"/>
      <c r="N190" s="112"/>
      <c r="O190" s="114"/>
    </row>
    <row r="191" spans="4:15" ht="14.25" thickBot="1">
      <c r="D191" s="121" t="s">
        <v>309</v>
      </c>
      <c r="E191" s="122"/>
      <c r="F191" s="268"/>
      <c r="G191" s="269"/>
      <c r="H191" s="102"/>
      <c r="I191" s="102"/>
      <c r="J191" s="103"/>
      <c r="L191" s="110"/>
      <c r="M191" s="111"/>
      <c r="N191" s="112"/>
      <c r="O191" s="114"/>
    </row>
    <row r="192" spans="4:15">
      <c r="G192" s="123"/>
      <c r="H192" s="102"/>
      <c r="I192" s="102"/>
      <c r="J192" s="103"/>
      <c r="L192" s="110"/>
      <c r="M192" s="111"/>
      <c r="N192" s="112"/>
      <c r="O192" s="114"/>
    </row>
    <row r="193" spans="7:15" ht="14.25" thickBot="1">
      <c r="G193" s="123"/>
      <c r="H193" s="102"/>
      <c r="I193" s="102"/>
      <c r="J193" s="103"/>
      <c r="L193" s="124"/>
      <c r="M193" s="125"/>
      <c r="N193" s="126"/>
      <c r="O193" s="127"/>
    </row>
    <row r="194" spans="7:15" ht="14.25" thickBot="1">
      <c r="G194" s="123"/>
      <c r="H194" s="102"/>
      <c r="I194" s="102"/>
      <c r="J194" s="103"/>
      <c r="L194" s="128" t="s">
        <v>288</v>
      </c>
      <c r="M194" s="129">
        <f>SUM(M175:M193)</f>
        <v>0</v>
      </c>
      <c r="N194" s="130">
        <f>SUM(N175:N193)</f>
        <v>0</v>
      </c>
      <c r="O194" s="131">
        <f>SUM(O175:O193)</f>
        <v>0</v>
      </c>
    </row>
    <row r="196" spans="7:15" ht="13.5" customHeight="1" thickBot="1"/>
    <row r="197" spans="7:15" ht="13.5" customHeight="1" thickBot="1">
      <c r="G197" s="270" t="s">
        <v>310</v>
      </c>
      <c r="H197" s="271"/>
      <c r="I197" s="132" t="s">
        <v>291</v>
      </c>
      <c r="J197" s="133" t="s">
        <v>292</v>
      </c>
      <c r="K197" s="134" t="s">
        <v>311</v>
      </c>
    </row>
    <row r="198" spans="7:15">
      <c r="G198" s="135" t="s">
        <v>312</v>
      </c>
      <c r="H198" s="105">
        <v>0</v>
      </c>
      <c r="I198" s="136">
        <v>0</v>
      </c>
      <c r="J198" s="137">
        <v>0</v>
      </c>
      <c r="K198" s="138">
        <v>0</v>
      </c>
    </row>
    <row r="199" spans="7:15">
      <c r="G199" s="139" t="s">
        <v>313</v>
      </c>
      <c r="H199" s="111">
        <v>0</v>
      </c>
      <c r="I199" s="111">
        <v>0</v>
      </c>
      <c r="J199" s="140">
        <v>0</v>
      </c>
      <c r="K199" s="141">
        <v>0</v>
      </c>
    </row>
    <row r="200" spans="7:15">
      <c r="G200" s="139" t="s">
        <v>314</v>
      </c>
      <c r="H200" s="111">
        <v>0</v>
      </c>
      <c r="I200" s="111">
        <v>0</v>
      </c>
      <c r="J200" s="140">
        <v>0</v>
      </c>
      <c r="K200" s="141">
        <v>0</v>
      </c>
    </row>
    <row r="201" spans="7:15">
      <c r="G201" s="139" t="s">
        <v>315</v>
      </c>
      <c r="H201" s="111">
        <v>0</v>
      </c>
      <c r="I201" s="111">
        <v>0</v>
      </c>
      <c r="J201" s="140">
        <v>0</v>
      </c>
      <c r="K201" s="141">
        <v>0</v>
      </c>
    </row>
    <row r="202" spans="7:15" ht="14.25" thickBot="1">
      <c r="G202" s="142" t="s">
        <v>316</v>
      </c>
      <c r="H202" s="143">
        <v>0</v>
      </c>
      <c r="I202" s="143">
        <v>0</v>
      </c>
      <c r="J202" s="144">
        <v>0</v>
      </c>
      <c r="K202" s="145">
        <v>0</v>
      </c>
    </row>
    <row r="203" spans="7:15" ht="14.25" thickBot="1">
      <c r="G203" s="146" t="s">
        <v>288</v>
      </c>
      <c r="H203" s="147"/>
      <c r="I203" s="147"/>
      <c r="J203" s="140"/>
      <c r="K203" s="148">
        <f>SUM(K198:K202)</f>
        <v>0</v>
      </c>
    </row>
  </sheetData>
  <autoFilter ref="A1:Q171"/>
  <mergeCells count="20">
    <mergeCell ref="F184:G184"/>
    <mergeCell ref="D174:G174"/>
    <mergeCell ref="L174:M174"/>
    <mergeCell ref="F175:G175"/>
    <mergeCell ref="F176:G176"/>
    <mergeCell ref="F177:G177"/>
    <mergeCell ref="F178:G178"/>
    <mergeCell ref="F179:G179"/>
    <mergeCell ref="F180:G180"/>
    <mergeCell ref="F181:G181"/>
    <mergeCell ref="F182:G182"/>
    <mergeCell ref="F183:G183"/>
    <mergeCell ref="F191:G191"/>
    <mergeCell ref="G197:H197"/>
    <mergeCell ref="F185:G185"/>
    <mergeCell ref="F186:G186"/>
    <mergeCell ref="F187:G187"/>
    <mergeCell ref="F188:G188"/>
    <mergeCell ref="F189:G189"/>
    <mergeCell ref="F190:G190"/>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3.xml><?xml version="1.0" encoding="utf-8"?>
<worksheet xmlns="http://schemas.openxmlformats.org/spreadsheetml/2006/main" xmlns:r="http://schemas.openxmlformats.org/officeDocument/2006/relationships">
  <sheetPr>
    <tabColor rgb="FFFFC000"/>
  </sheetPr>
  <dimension ref="A1"/>
  <sheetViews>
    <sheetView zoomScale="97" zoomScaleSheetLayoutView="100" workbookViewId="0">
      <selection activeCell="H225" sqref="H22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codeName="Sheet4">
    <tabColor rgb="FFFFC000"/>
  </sheetPr>
  <dimension ref="A1:A142"/>
  <sheetViews>
    <sheetView tabSelected="1" topLeftCell="A132" zoomScale="115" zoomScaleSheetLayoutView="100" workbookViewId="0">
      <selection activeCell="A132" sqref="A132"/>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4" t="s">
        <v>32</v>
      </c>
    </row>
    <row r="37" spans="1:1">
      <c r="A37" s="2" t="s">
        <v>33</v>
      </c>
    </row>
    <row r="38" spans="1:1">
      <c r="A38" s="2" t="s">
        <v>34</v>
      </c>
    </row>
    <row r="39" spans="1:1">
      <c r="A39" s="2" t="s">
        <v>35</v>
      </c>
    </row>
    <row r="40" spans="1:1">
      <c r="A40" s="2" t="s">
        <v>36</v>
      </c>
    </row>
    <row r="42" spans="1:1">
      <c r="A42" s="5"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5" t="s">
        <v>45</v>
      </c>
    </row>
    <row r="52" spans="1:1" ht="27">
      <c r="A52" s="6" t="s">
        <v>46</v>
      </c>
    </row>
    <row r="53" spans="1:1" ht="27">
      <c r="A53" s="6" t="s">
        <v>47</v>
      </c>
    </row>
    <row r="54" spans="1:1">
      <c r="A54" s="6" t="s">
        <v>48</v>
      </c>
    </row>
    <row r="55" spans="1:1">
      <c r="A55" s="7" t="s">
        <v>49</v>
      </c>
    </row>
    <row r="56" spans="1:1" ht="27">
      <c r="A56" s="6" t="s">
        <v>50</v>
      </c>
    </row>
    <row r="57" spans="1:1" ht="27">
      <c r="A57" s="8" t="s">
        <v>51</v>
      </c>
    </row>
    <row r="58" spans="1:1" ht="27">
      <c r="A58" s="6" t="s">
        <v>52</v>
      </c>
    </row>
    <row r="59" spans="1:1">
      <c r="A59" s="2" t="s">
        <v>53</v>
      </c>
    </row>
    <row r="61" spans="1:1">
      <c r="A61" s="9" t="s">
        <v>54</v>
      </c>
    </row>
    <row r="62" spans="1:1">
      <c r="A62" s="10" t="s">
        <v>363</v>
      </c>
    </row>
    <row r="63" spans="1:1">
      <c r="A63" s="10" t="s">
        <v>55</v>
      </c>
    </row>
    <row r="64" spans="1:1">
      <c r="A64" s="10" t="s">
        <v>364</v>
      </c>
    </row>
    <row r="65" spans="1:1">
      <c r="A65" s="10" t="s">
        <v>56</v>
      </c>
    </row>
    <row r="66" spans="1:1">
      <c r="A66" s="10" t="s">
        <v>57</v>
      </c>
    </row>
    <row r="67" spans="1:1">
      <c r="A67" s="11" t="s">
        <v>58</v>
      </c>
    </row>
    <row r="69" spans="1:1">
      <c r="A69" s="12" t="s">
        <v>59</v>
      </c>
    </row>
    <row r="70" spans="1:1" ht="34.5" customHeight="1">
      <c r="A70" s="6" t="s">
        <v>60</v>
      </c>
    </row>
    <row r="71" spans="1:1" ht="33" customHeight="1">
      <c r="A71" s="6" t="s">
        <v>61</v>
      </c>
    </row>
    <row r="72" spans="1:1" ht="34.5" customHeight="1">
      <c r="A72" s="13" t="s">
        <v>62</v>
      </c>
    </row>
    <row r="73" spans="1:1">
      <c r="A73" s="2" t="s">
        <v>63</v>
      </c>
    </row>
    <row r="74" spans="1:1" ht="12.75" customHeight="1">
      <c r="A74" s="2" t="s">
        <v>64</v>
      </c>
    </row>
    <row r="75" spans="1:1" ht="24" hidden="1" customHeight="1">
      <c r="A75" s="14" t="s">
        <v>65</v>
      </c>
    </row>
    <row r="76" spans="1:1" ht="17.25" hidden="1" customHeight="1">
      <c r="A76" s="15" t="s">
        <v>66</v>
      </c>
    </row>
    <row r="77" spans="1:1" ht="17.25" hidden="1" customHeight="1">
      <c r="A77" s="15" t="s">
        <v>365</v>
      </c>
    </row>
    <row r="78" spans="1:1" ht="0.75" customHeight="1" thickBot="1">
      <c r="A78" s="16" t="s">
        <v>67</v>
      </c>
    </row>
    <row r="80" spans="1:1">
      <c r="A80" s="12" t="s">
        <v>333</v>
      </c>
    </row>
    <row r="81" spans="1:1" ht="17.25" customHeight="1">
      <c r="A81" s="6" t="s">
        <v>334</v>
      </c>
    </row>
    <row r="82" spans="1:1">
      <c r="A82" s="2" t="s">
        <v>335</v>
      </c>
    </row>
    <row r="83" spans="1:1">
      <c r="A83" s="2" t="s">
        <v>379</v>
      </c>
    </row>
    <row r="85" spans="1:1">
      <c r="A85" s="12" t="s">
        <v>406</v>
      </c>
    </row>
    <row r="86" spans="1:1">
      <c r="A86" s="2" t="s">
        <v>429</v>
      </c>
    </row>
    <row r="87" spans="1:1">
      <c r="A87" s="2" t="s">
        <v>426</v>
      </c>
    </row>
    <row r="88" spans="1:1">
      <c r="A88" s="2" t="s">
        <v>430</v>
      </c>
    </row>
    <row r="89" spans="1:1">
      <c r="A89" s="2" t="s">
        <v>407</v>
      </c>
    </row>
    <row r="90" spans="1:1">
      <c r="A90" s="2" t="s">
        <v>431</v>
      </c>
    </row>
    <row r="91" spans="1:1">
      <c r="A91" s="2" t="s">
        <v>415</v>
      </c>
    </row>
    <row r="92" spans="1:1" ht="27">
      <c r="A92" s="203" t="s">
        <v>408</v>
      </c>
    </row>
    <row r="93" spans="1:1">
      <c r="A93" s="2" t="s">
        <v>432</v>
      </c>
    </row>
    <row r="94" spans="1:1">
      <c r="A94" s="205" t="s">
        <v>427</v>
      </c>
    </row>
    <row r="96" spans="1:1">
      <c r="A96" s="258">
        <v>42296</v>
      </c>
    </row>
    <row r="97" spans="1:1">
      <c r="A97" s="2" t="s">
        <v>541</v>
      </c>
    </row>
    <row r="98" spans="1:1">
      <c r="A98" s="2" t="s">
        <v>542</v>
      </c>
    </row>
    <row r="99" spans="1:1">
      <c r="A99" s="2" t="s">
        <v>548</v>
      </c>
    </row>
    <row r="100" spans="1:1">
      <c r="A100" s="2" t="s">
        <v>575</v>
      </c>
    </row>
    <row r="102" spans="1:1">
      <c r="A102" s="258">
        <v>42303</v>
      </c>
    </row>
    <row r="103" spans="1:1" ht="0.75" customHeight="1">
      <c r="A103" s="2" t="s">
        <v>579</v>
      </c>
    </row>
    <row r="104" spans="1:1" ht="47.25" hidden="1" customHeight="1">
      <c r="A104" s="2" t="s">
        <v>580</v>
      </c>
    </row>
    <row r="105" spans="1:1" ht="40.5" hidden="1" customHeight="1">
      <c r="A105" s="2" t="s">
        <v>581</v>
      </c>
    </row>
    <row r="106" spans="1:1" ht="45.75" hidden="1" customHeight="1">
      <c r="A106" s="2" t="s">
        <v>576</v>
      </c>
    </row>
    <row r="107" spans="1:1" ht="58.5" hidden="1" customHeight="1">
      <c r="A107" s="2" t="s">
        <v>577</v>
      </c>
    </row>
    <row r="108" spans="1:1" ht="16.5" customHeight="1">
      <c r="A108" s="2" t="s">
        <v>589</v>
      </c>
    </row>
    <row r="109" spans="1:1" ht="16.5" customHeight="1">
      <c r="A109" s="2" t="s">
        <v>590</v>
      </c>
    </row>
    <row r="110" spans="1:1">
      <c r="A110" s="12" t="s">
        <v>588</v>
      </c>
    </row>
    <row r="111" spans="1:1">
      <c r="A111" s="12" t="s">
        <v>583</v>
      </c>
    </row>
    <row r="112" spans="1:1">
      <c r="A112" s="2" t="s">
        <v>582</v>
      </c>
    </row>
    <row r="113" spans="1:1">
      <c r="A113" s="2" t="s">
        <v>584</v>
      </c>
    </row>
    <row r="114" spans="1:1">
      <c r="A114" s="2" t="s">
        <v>585</v>
      </c>
    </row>
    <row r="115" spans="1:1">
      <c r="A115" s="2" t="s">
        <v>586</v>
      </c>
    </row>
    <row r="117" spans="1:1">
      <c r="A117" s="258">
        <v>42310</v>
      </c>
    </row>
    <row r="118" spans="1:1">
      <c r="A118" s="2" t="s">
        <v>617</v>
      </c>
    </row>
    <row r="119" spans="1:1">
      <c r="A119" s="2" t="s">
        <v>631</v>
      </c>
    </row>
    <row r="120" spans="1:1">
      <c r="A120" s="2" t="s">
        <v>632</v>
      </c>
    </row>
    <row r="121" spans="1:1">
      <c r="A121" s="261" t="s">
        <v>647</v>
      </c>
    </row>
    <row r="122" spans="1:1">
      <c r="A122" s="12" t="s">
        <v>639</v>
      </c>
    </row>
    <row r="123" spans="1:1">
      <c r="A123" s="2" t="s">
        <v>640</v>
      </c>
    </row>
    <row r="124" spans="1:1">
      <c r="A124" s="2" t="s">
        <v>641</v>
      </c>
    </row>
    <row r="125" spans="1:1">
      <c r="A125" s="2" t="s">
        <v>642</v>
      </c>
    </row>
    <row r="126" spans="1:1">
      <c r="A126" s="2" t="s">
        <v>644</v>
      </c>
    </row>
    <row r="127" spans="1:1">
      <c r="A127" s="2" t="s">
        <v>643</v>
      </c>
    </row>
    <row r="129" spans="1:1">
      <c r="A129" s="12" t="s">
        <v>646</v>
      </c>
    </row>
    <row r="130" spans="1:1">
      <c r="A130" s="2" t="s">
        <v>645</v>
      </c>
    </row>
    <row r="132" spans="1:1">
      <c r="A132" s="258">
        <v>42317</v>
      </c>
    </row>
    <row r="133" spans="1:1">
      <c r="A133" s="5" t="s">
        <v>664</v>
      </c>
    </row>
    <row r="134" spans="1:1" ht="31.5" customHeight="1">
      <c r="A134" s="6" t="s">
        <v>665</v>
      </c>
    </row>
    <row r="135" spans="1:1" ht="15.75" customHeight="1">
      <c r="A135" s="2" t="s">
        <v>683</v>
      </c>
    </row>
    <row r="136" spans="1:1" ht="47.25" customHeight="1">
      <c r="A136" s="6" t="s">
        <v>685</v>
      </c>
    </row>
    <row r="137" spans="1:1">
      <c r="A137" s="6" t="s">
        <v>684</v>
      </c>
    </row>
    <row r="138" spans="1:1" ht="27">
      <c r="A138" s="6" t="s">
        <v>679</v>
      </c>
    </row>
    <row r="140" spans="1:1">
      <c r="A140" s="2" t="s">
        <v>680</v>
      </c>
    </row>
    <row r="141" spans="1:1">
      <c r="A141" s="2" t="s">
        <v>681</v>
      </c>
    </row>
    <row r="142" spans="1:1">
      <c r="A142" s="2" t="s">
        <v>682</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codeName="Sheet5">
    <tabColor rgb="FF00FF00"/>
  </sheetPr>
  <dimension ref="A1:D16"/>
  <sheetViews>
    <sheetView workbookViewId="0">
      <selection activeCell="D5" sqref="D5"/>
    </sheetView>
  </sheetViews>
  <sheetFormatPr defaultRowHeight="13.5"/>
  <cols>
    <col min="1" max="4" width="35.625" style="194" customWidth="1"/>
  </cols>
  <sheetData>
    <row r="1" spans="1:4" ht="83.25" customHeight="1">
      <c r="A1" s="280" t="s">
        <v>375</v>
      </c>
      <c r="B1" s="281"/>
      <c r="C1" s="281"/>
      <c r="D1" s="281"/>
    </row>
    <row r="2" spans="1:4" s="192" customFormat="1" ht="21.75" customHeight="1" thickBot="1">
      <c r="A2" s="196" t="s">
        <v>367</v>
      </c>
      <c r="B2" s="196" t="s">
        <v>368</v>
      </c>
      <c r="C2" s="196" t="s">
        <v>369</v>
      </c>
      <c r="D2" s="196" t="s">
        <v>370</v>
      </c>
    </row>
    <row r="3" spans="1:4" s="192" customFormat="1" ht="27.75" thickTop="1">
      <c r="A3" s="195" t="s">
        <v>360</v>
      </c>
      <c r="B3" s="195" t="s">
        <v>359</v>
      </c>
      <c r="C3" s="195" t="s">
        <v>373</v>
      </c>
      <c r="D3" s="195" t="s">
        <v>362</v>
      </c>
    </row>
    <row r="4" spans="1:4" s="192" customFormat="1" ht="40.5">
      <c r="A4" s="191" t="s">
        <v>371</v>
      </c>
      <c r="B4" s="204" t="s">
        <v>692</v>
      </c>
      <c r="C4" s="197" t="s">
        <v>374</v>
      </c>
      <c r="D4" s="257" t="s">
        <v>543</v>
      </c>
    </row>
    <row r="5" spans="1:4" s="192" customFormat="1" ht="40.5">
      <c r="A5" s="201" t="s">
        <v>409</v>
      </c>
      <c r="B5" s="191" t="s">
        <v>372</v>
      </c>
      <c r="C5" s="191"/>
      <c r="D5" s="204" t="s">
        <v>693</v>
      </c>
    </row>
    <row r="6" spans="1:4" s="192" customFormat="1" ht="25.5" customHeight="1">
      <c r="A6" s="191" t="s">
        <v>376</v>
      </c>
      <c r="B6" s="191" t="s">
        <v>361</v>
      </c>
      <c r="C6" s="191"/>
      <c r="D6" s="191"/>
    </row>
    <row r="7" spans="1:4" s="192" customFormat="1" ht="40.5">
      <c r="A7" s="260" t="s">
        <v>410</v>
      </c>
      <c r="B7" s="191" t="s">
        <v>366</v>
      </c>
      <c r="C7" s="191"/>
      <c r="D7" s="191"/>
    </row>
    <row r="8" spans="1:4" s="192" customFormat="1" ht="37.5" customHeight="1">
      <c r="A8" s="260" t="s">
        <v>428</v>
      </c>
      <c r="B8" s="204" t="s">
        <v>691</v>
      </c>
      <c r="C8" s="202"/>
      <c r="D8" s="202"/>
    </row>
    <row r="9" spans="1:4" s="192" customFormat="1" ht="37.5" customHeight="1">
      <c r="A9" s="260" t="s">
        <v>578</v>
      </c>
      <c r="B9" s="260" t="s">
        <v>587</v>
      </c>
      <c r="C9" s="259"/>
      <c r="D9" s="259"/>
    </row>
    <row r="10" spans="1:4" s="192" customFormat="1">
      <c r="A10" s="193"/>
      <c r="B10" s="193"/>
      <c r="C10" s="193"/>
      <c r="D10" s="193"/>
    </row>
    <row r="11" spans="1:4" s="192" customFormat="1">
      <c r="A11" s="193"/>
      <c r="B11" s="193"/>
      <c r="C11" s="193"/>
      <c r="D11" s="193"/>
    </row>
    <row r="12" spans="1:4" s="192" customFormat="1">
      <c r="A12" s="193"/>
      <c r="B12" s="193"/>
      <c r="C12" s="193"/>
      <c r="D12" s="193"/>
    </row>
    <row r="13" spans="1:4" s="192" customFormat="1">
      <c r="A13" s="193"/>
      <c r="B13" s="193"/>
      <c r="C13" s="193"/>
      <c r="D13" s="193"/>
    </row>
    <row r="14" spans="1:4" s="192" customFormat="1">
      <c r="A14" s="193"/>
      <c r="B14" s="193"/>
      <c r="C14" s="193"/>
      <c r="D14" s="193"/>
    </row>
    <row r="15" spans="1:4" s="192" customFormat="1">
      <c r="A15" s="193"/>
      <c r="B15" s="193"/>
      <c r="C15" s="193"/>
      <c r="D15" s="193"/>
    </row>
    <row r="16" spans="1:4" s="192" customFormat="1">
      <c r="A16" s="193"/>
      <c r="B16" s="193"/>
      <c r="C16" s="193"/>
      <c r="D16" s="193"/>
    </row>
  </sheetData>
  <mergeCells count="1">
    <mergeCell ref="A1:D1"/>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0"/>
  </sheetPr>
  <dimension ref="A1:AD67"/>
  <sheetViews>
    <sheetView topLeftCell="A5" zoomScale="90" zoomScaleNormal="90" workbookViewId="0">
      <selection activeCell="W6" sqref="W6"/>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245" customWidth="1"/>
    <col min="29" max="29" width="3.375" customWidth="1"/>
    <col min="30" max="30" width="10.875" customWidth="1"/>
  </cols>
  <sheetData>
    <row r="1" spans="1:30" ht="17.25">
      <c r="A1" s="239" t="s">
        <v>501</v>
      </c>
    </row>
    <row r="2" spans="1:30">
      <c r="A2" s="287" t="s">
        <v>498</v>
      </c>
      <c r="B2" s="287"/>
      <c r="C2" s="288">
        <f>デモトレ履歴!Q2-デモトレ履歴!P2</f>
        <v>1000000</v>
      </c>
      <c r="D2" s="288"/>
    </row>
    <row r="3" spans="1:30">
      <c r="A3" s="287" t="s">
        <v>499</v>
      </c>
      <c r="B3" s="287"/>
      <c r="C3" s="289">
        <f>SUM(C2,E37)</f>
        <v>745277</v>
      </c>
      <c r="D3" s="289"/>
    </row>
    <row r="4" spans="1:30">
      <c r="A4" s="287" t="s">
        <v>500</v>
      </c>
      <c r="B4" s="287"/>
      <c r="C4" s="290">
        <f>DATEVALUE(LEFT(デモトレ履歴!G2,4)&amp;"/"&amp;MID(デモトレ履歴!G2,6,2)&amp;"/"&amp;MID(デモトレ履歴!G2,9,2))</f>
        <v>42233</v>
      </c>
      <c r="D4" s="290"/>
    </row>
    <row r="6" spans="1:30" ht="17.25">
      <c r="A6" s="206" t="s">
        <v>433</v>
      </c>
      <c r="B6" s="207"/>
      <c r="C6" s="207"/>
      <c r="D6" s="207"/>
      <c r="E6" s="207"/>
      <c r="F6" s="207"/>
      <c r="G6" s="207"/>
      <c r="H6" s="207"/>
      <c r="I6" s="207"/>
      <c r="J6" s="207"/>
      <c r="K6" s="207"/>
      <c r="L6" s="207"/>
      <c r="M6" s="207"/>
      <c r="N6" s="207"/>
      <c r="AD6" s="207"/>
    </row>
    <row r="7" spans="1:30">
      <c r="A7" s="207"/>
      <c r="B7" s="207"/>
      <c r="C7" s="207"/>
      <c r="D7" s="207"/>
      <c r="E7" s="207"/>
      <c r="F7" s="207"/>
      <c r="G7" s="207"/>
      <c r="H7" s="207"/>
      <c r="I7" s="207"/>
      <c r="J7" s="207"/>
      <c r="K7" s="207"/>
      <c r="L7" s="207"/>
      <c r="M7" s="207"/>
      <c r="N7" s="207"/>
      <c r="AD7" s="207"/>
    </row>
    <row r="8" spans="1:30" ht="36">
      <c r="A8" s="208" t="s">
        <v>434</v>
      </c>
      <c r="B8" s="209" t="s">
        <v>435</v>
      </c>
      <c r="C8" s="209" t="s">
        <v>436</v>
      </c>
      <c r="D8" s="210" t="s">
        <v>465</v>
      </c>
      <c r="E8" s="209" t="s">
        <v>437</v>
      </c>
      <c r="F8" s="210" t="s">
        <v>485</v>
      </c>
      <c r="G8" s="209" t="s">
        <v>438</v>
      </c>
      <c r="H8" s="209" t="s">
        <v>439</v>
      </c>
      <c r="I8" s="209" t="s">
        <v>440</v>
      </c>
      <c r="J8" s="209" t="s">
        <v>441</v>
      </c>
      <c r="K8" s="209" t="s">
        <v>442</v>
      </c>
      <c r="L8" s="209" t="s">
        <v>443</v>
      </c>
      <c r="M8" s="210" t="s">
        <v>444</v>
      </c>
      <c r="N8" s="211" t="s">
        <v>445</v>
      </c>
      <c r="AD8" s="209" t="s">
        <v>486</v>
      </c>
    </row>
    <row r="9" spans="1:30">
      <c r="A9" s="212" t="s">
        <v>452</v>
      </c>
      <c r="B9" s="213">
        <f>SUMIFS(デモトレ履歴!$P$2:$P$168,デモトレ履歴!$M$2:$M$168,"win",デモトレ履歴!$B$2:$B$168,成績表!$A9&amp;"*")</f>
        <v>0</v>
      </c>
      <c r="C9" s="213">
        <f>SUMIFS(デモトレ履歴!$P$2:$P$168,デモトレ履歴!$M$2:$M$168,"loss",デモトレ履歴!$B$2:$B$168,成績表!$A9&amp;"*")</f>
        <v>-4500</v>
      </c>
      <c r="D9" s="213">
        <f>SUMIFS(デモトレ履歴!$P$2:$P$168,デモトレ履歴!$M$2:$M$168,"drw",デモトレ履歴!$B$2:$B$168,成績表!$A9&amp;"*")</f>
        <v>0</v>
      </c>
      <c r="E9" s="213">
        <f t="shared" ref="E9:E36" si="0">SUM(B9:D9)</f>
        <v>-4500</v>
      </c>
      <c r="F9" s="214">
        <f>COUNTIF(デモトレ履歴!$B$2:$B$168,成績表!$A9&amp;"*")</f>
        <v>1</v>
      </c>
      <c r="G9" s="214">
        <f>COUNTIFS(デモトレ履歴!$M$2:$M$168,"win",デモトレ履歴!$B$2:$B$168,成績表!$A9&amp;"*")</f>
        <v>0</v>
      </c>
      <c r="H9" s="214">
        <f>COUNTIFS(デモトレ履歴!$M$2:$M$168,"loss",デモトレ履歴!$B$2:$B$168,成績表!$A9&amp;"*")</f>
        <v>1</v>
      </c>
      <c r="I9" s="215">
        <f>COUNTIFS(デモトレ履歴!$M$2:$M$168,"drw",デモトレ履歴!$B$2:$B$168,成績表!$A9&amp;"*")</f>
        <v>0</v>
      </c>
      <c r="J9" s="216">
        <f>IF(G9&gt;0,G9/F9,0)</f>
        <v>0</v>
      </c>
      <c r="K9" s="217">
        <f t="shared" ref="K9:K36" si="1">IF(B9&lt;&gt;0,B9/G9,0)</f>
        <v>0</v>
      </c>
      <c r="L9" s="217">
        <f t="shared" ref="L9:L36" si="2">IF(C9&lt;&gt;0,C9/H9*-1,0)</f>
        <v>4500</v>
      </c>
      <c r="M9" s="232">
        <f>IF(AND(K9&lt;&gt;0,L9&lt;&gt;0),K9/L9,0)</f>
        <v>0</v>
      </c>
      <c r="N9" s="233">
        <f t="shared" ref="N9:N36" si="3">IF(AND(B9&lt;&gt;0,C9&lt;&gt;0),B9/C9,0)</f>
        <v>0</v>
      </c>
      <c r="AD9" s="213">
        <f t="shared" ref="AD9:AD36" si="4">ABS(C9)</f>
        <v>4500</v>
      </c>
    </row>
    <row r="10" spans="1:30">
      <c r="A10" s="218" t="s">
        <v>453</v>
      </c>
      <c r="B10" s="219">
        <f>SUMIFS(デモトレ履歴!$P$2:$P$168,デモトレ履歴!$M$2:$M$168,"win",デモトレ履歴!$B$2:$B$168,成績表!$A10&amp;"*")</f>
        <v>0</v>
      </c>
      <c r="C10" s="219">
        <f>SUMIFS(デモトレ履歴!$P$2:$P$168,デモトレ履歴!$M$2:$M$168,"loss",デモトレ履歴!$B$2:$B$168,成績表!$A10&amp;"*")</f>
        <v>-53704</v>
      </c>
      <c r="D10" s="219">
        <f>SUMIFS(デモトレ履歴!$P$2:$P$168,デモトレ履歴!$M$2:$M$168,"drw",デモトレ履歴!$B$2:$B$168,成績表!$A10&amp;"*")</f>
        <v>-3276</v>
      </c>
      <c r="E10" s="219">
        <f t="shared" si="0"/>
        <v>-56980</v>
      </c>
      <c r="F10" s="220">
        <f>COUNTIF(デモトレ履歴!$B$2:$B$168,成績表!$A10&amp;"*")</f>
        <v>10</v>
      </c>
      <c r="G10" s="220">
        <f>COUNTIFS(デモトレ履歴!$M$2:$M$168,"win",デモトレ履歴!$B$2:$B$168,成績表!$A10&amp;"*")</f>
        <v>0</v>
      </c>
      <c r="H10" s="220">
        <f>COUNTIFS(デモトレ履歴!$M$2:$M$168,"loss",デモトレ履歴!$B$2:$B$168,成績表!$A10&amp;"*")</f>
        <v>4</v>
      </c>
      <c r="I10" s="220">
        <f>COUNTIFS(デモトレ履歴!$M$2:$M$168,"drw",デモトレ履歴!$B$2:$B$168,成績表!$A10&amp;"*")</f>
        <v>6</v>
      </c>
      <c r="J10" s="221">
        <f t="shared" ref="J10:J36" si="5">IF(G10&gt;0,G10/F10,0)</f>
        <v>0</v>
      </c>
      <c r="K10" s="219">
        <f t="shared" si="1"/>
        <v>0</v>
      </c>
      <c r="L10" s="219">
        <f t="shared" si="2"/>
        <v>13426</v>
      </c>
      <c r="M10" s="234">
        <f t="shared" ref="M10:M35" si="6">IF(AND(K10&lt;&gt;0,L10&lt;&gt;0),K10/L10,0)</f>
        <v>0</v>
      </c>
      <c r="N10" s="235">
        <f t="shared" si="3"/>
        <v>0</v>
      </c>
      <c r="AD10" s="219">
        <f t="shared" si="4"/>
        <v>53704</v>
      </c>
    </row>
    <row r="11" spans="1:30">
      <c r="A11" s="218" t="s">
        <v>454</v>
      </c>
      <c r="B11" s="219">
        <f>SUMIFS(デモトレ履歴!$P$2:$P$168,デモトレ履歴!$M$2:$M$168,"win",デモトレ履歴!$B$2:$B$168,成績表!$A11&amp;"*")</f>
        <v>0</v>
      </c>
      <c r="C11" s="219">
        <f>SUMIFS(デモトレ履歴!$P$2:$P$168,デモトレ履歴!$M$2:$M$168,"loss",デモトレ履歴!$B$2:$B$168,成績表!$A11&amp;"*")</f>
        <v>-29100</v>
      </c>
      <c r="D11" s="219">
        <f>SUMIFS(デモトレ履歴!$P$2:$P$168,デモトレ履歴!$M$2:$M$168,"drw",デモトレ履歴!$B$2:$B$168,成績表!$A11&amp;"*")</f>
        <v>0</v>
      </c>
      <c r="E11" s="219">
        <f t="shared" si="0"/>
        <v>-29100</v>
      </c>
      <c r="F11" s="220">
        <f>COUNTIF(デモトレ履歴!$B$2:$B$168,成績表!$A11&amp;"*")</f>
        <v>2</v>
      </c>
      <c r="G11" s="220">
        <f>COUNTIFS(デモトレ履歴!$M$2:$M$168,"win",デモトレ履歴!$B$2:$B$168,成績表!$A11&amp;"*")</f>
        <v>0</v>
      </c>
      <c r="H11" s="220">
        <f>COUNTIFS(デモトレ履歴!$M$2:$M$168,"loss",デモトレ履歴!$B$2:$B$168,成績表!$A11&amp;"*")</f>
        <v>2</v>
      </c>
      <c r="I11" s="220">
        <f>COUNTIFS(デモトレ履歴!$M$2:$M$168,"drw",デモトレ履歴!$B$2:$B$168,成績表!$A11&amp;"*")</f>
        <v>0</v>
      </c>
      <c r="J11" s="221">
        <f t="shared" si="5"/>
        <v>0</v>
      </c>
      <c r="K11" s="219">
        <f t="shared" si="1"/>
        <v>0</v>
      </c>
      <c r="L11" s="219">
        <f t="shared" si="2"/>
        <v>14550</v>
      </c>
      <c r="M11" s="234">
        <f t="shared" si="6"/>
        <v>0</v>
      </c>
      <c r="N11" s="235">
        <f t="shared" si="3"/>
        <v>0</v>
      </c>
      <c r="AD11" s="219">
        <f t="shared" si="4"/>
        <v>29100</v>
      </c>
    </row>
    <row r="12" spans="1:30">
      <c r="A12" s="218" t="s">
        <v>455</v>
      </c>
      <c r="B12" s="219">
        <f>SUMIFS(デモトレ履歴!$P$2:$P$168,デモトレ履歴!$M$2:$M$168,"win",デモトレ履歴!$B$2:$B$168,成績表!$A12&amp;"*")</f>
        <v>9737</v>
      </c>
      <c r="C12" s="219">
        <f>SUMIFS(デモトレ履歴!$P$2:$P$168,デモトレ履歴!$M$2:$M$168,"loss",デモトレ履歴!$B$2:$B$168,成績表!$A12&amp;"*")</f>
        <v>-16014</v>
      </c>
      <c r="D12" s="219">
        <f>SUMIFS(デモトレ履歴!$P$2:$P$168,デモトレ履歴!$M$2:$M$168,"drw",デモトレ履歴!$B$2:$B$168,成績表!$A12&amp;"*")</f>
        <v>0</v>
      </c>
      <c r="E12" s="219">
        <f t="shared" si="0"/>
        <v>-6277</v>
      </c>
      <c r="F12" s="220">
        <f>COUNTIF(デモトレ履歴!$B$2:$B$168,成績表!$A12&amp;"*")</f>
        <v>2</v>
      </c>
      <c r="G12" s="220">
        <f>COUNTIFS(デモトレ履歴!$M$2:$M$168,"win",デモトレ履歴!$B$2:$B$168,成績表!$A12&amp;"*")</f>
        <v>1</v>
      </c>
      <c r="H12" s="220">
        <f>COUNTIFS(デモトレ履歴!$M$2:$M$168,"loss",デモトレ履歴!$B$2:$B$168,成績表!$A12&amp;"*")</f>
        <v>1</v>
      </c>
      <c r="I12" s="220">
        <f>COUNTIFS(デモトレ履歴!$M$2:$M$168,"drw",デモトレ履歴!$B$2:$B$168,成績表!$A12&amp;"*")</f>
        <v>0</v>
      </c>
      <c r="J12" s="221">
        <f t="shared" si="5"/>
        <v>0.5</v>
      </c>
      <c r="K12" s="219">
        <f t="shared" si="1"/>
        <v>9737</v>
      </c>
      <c r="L12" s="219">
        <f t="shared" si="2"/>
        <v>16014</v>
      </c>
      <c r="M12" s="234">
        <f t="shared" si="6"/>
        <v>0.60803047333583116</v>
      </c>
      <c r="N12" s="235">
        <f t="shared" si="3"/>
        <v>-0.60803047333583116</v>
      </c>
      <c r="AD12" s="219">
        <f t="shared" si="4"/>
        <v>16014</v>
      </c>
    </row>
    <row r="13" spans="1:30">
      <c r="A13" s="218" t="s">
        <v>456</v>
      </c>
      <c r="B13" s="219">
        <f>SUMIFS(デモトレ履歴!$P$2:$P$168,デモトレ履歴!$M$2:$M$168,"win",デモトレ履歴!$B$2:$B$168,成績表!$A13&amp;"*")</f>
        <v>68953</v>
      </c>
      <c r="C13" s="219">
        <f>SUMIFS(デモトレ履歴!$P$2:$P$168,デモトレ履歴!$M$2:$M$168,"loss",デモトレ履歴!$B$2:$B$168,成績表!$A13&amp;"*")</f>
        <v>-25042</v>
      </c>
      <c r="D13" s="219">
        <f>SUMIFS(デモトレ履歴!$P$2:$P$168,デモトレ履歴!$M$2:$M$168,"drw",デモトレ履歴!$B$2:$B$168,成績表!$A13&amp;"*")</f>
        <v>2110</v>
      </c>
      <c r="E13" s="219">
        <f t="shared" si="0"/>
        <v>46021</v>
      </c>
      <c r="F13" s="220">
        <f>COUNTIF(デモトレ履歴!$B$2:$B$168,成績表!$A13&amp;"*")</f>
        <v>9</v>
      </c>
      <c r="G13" s="220">
        <f>COUNTIFS(デモトレ履歴!$M$2:$M$168,"win",デモトレ履歴!$B$2:$B$168,成績表!$A13&amp;"*")</f>
        <v>5</v>
      </c>
      <c r="H13" s="220">
        <f>COUNTIFS(デモトレ履歴!$M$2:$M$168,"loss",デモトレ履歴!$B$2:$B$168,成績表!$A13&amp;"*")</f>
        <v>2</v>
      </c>
      <c r="I13" s="220">
        <f>COUNTIFS(デモトレ履歴!$M$2:$M$168,"drw",デモトレ履歴!$B$2:$B$168,成績表!$A13&amp;"*")</f>
        <v>2</v>
      </c>
      <c r="J13" s="221">
        <f t="shared" si="5"/>
        <v>0.55555555555555558</v>
      </c>
      <c r="K13" s="219">
        <f t="shared" si="1"/>
        <v>13790.6</v>
      </c>
      <c r="L13" s="219">
        <f t="shared" si="2"/>
        <v>12521</v>
      </c>
      <c r="M13" s="234">
        <f t="shared" si="6"/>
        <v>1.1013976519447328</v>
      </c>
      <c r="N13" s="235">
        <f t="shared" si="3"/>
        <v>-2.7534941298618323</v>
      </c>
      <c r="AD13" s="219">
        <f t="shared" si="4"/>
        <v>25042</v>
      </c>
    </row>
    <row r="14" spans="1:30">
      <c r="A14" s="218" t="s">
        <v>457</v>
      </c>
      <c r="B14" s="219">
        <f>SUMIFS(デモトレ履歴!$P$2:$P$168,デモトレ履歴!$M$2:$M$168,"win",デモトレ履歴!$B$2:$B$168,成績表!$A14&amp;"*")</f>
        <v>0</v>
      </c>
      <c r="C14" s="219">
        <f>SUMIFS(デモトレ履歴!$P$2:$P$168,デモトレ履歴!$M$2:$M$168,"loss",デモトレ履歴!$B$2:$B$168,成績表!$A14&amp;"*")</f>
        <v>-28059</v>
      </c>
      <c r="D14" s="219">
        <f>SUMIFS(デモトレ履歴!$P$2:$P$168,デモトレ履歴!$M$2:$M$168,"drw",デモトレ履歴!$B$2:$B$168,成績表!$A14&amp;"*")</f>
        <v>0</v>
      </c>
      <c r="E14" s="219">
        <f t="shared" si="0"/>
        <v>-28059</v>
      </c>
      <c r="F14" s="220">
        <f>COUNTIF(デモトレ履歴!$B$2:$B$168,成績表!$A14&amp;"*")</f>
        <v>3</v>
      </c>
      <c r="G14" s="220">
        <f>COUNTIFS(デモトレ履歴!$M$2:$M$168,"win",デモトレ履歴!$B$2:$B$168,成績表!$A14&amp;"*")</f>
        <v>0</v>
      </c>
      <c r="H14" s="220">
        <f>COUNTIFS(デモトレ履歴!$M$2:$M$168,"loss",デモトレ履歴!$B$2:$B$168,成績表!$A14&amp;"*")</f>
        <v>3</v>
      </c>
      <c r="I14" s="220">
        <f>COUNTIFS(デモトレ履歴!$M$2:$M$168,"drw",デモトレ履歴!$B$2:$B$168,成績表!$A14&amp;"*")</f>
        <v>0</v>
      </c>
      <c r="J14" s="221">
        <f t="shared" si="5"/>
        <v>0</v>
      </c>
      <c r="K14" s="219">
        <f t="shared" si="1"/>
        <v>0</v>
      </c>
      <c r="L14" s="219">
        <f t="shared" si="2"/>
        <v>9353</v>
      </c>
      <c r="M14" s="234">
        <f t="shared" si="6"/>
        <v>0</v>
      </c>
      <c r="N14" s="235">
        <f t="shared" si="3"/>
        <v>0</v>
      </c>
      <c r="AD14" s="219">
        <f t="shared" si="4"/>
        <v>28059</v>
      </c>
    </row>
    <row r="15" spans="1:30">
      <c r="A15" s="218" t="s">
        <v>458</v>
      </c>
      <c r="B15" s="219">
        <f>SUMIFS(デモトレ履歴!$P$2:$P$168,デモトレ履歴!$M$2:$M$168,"win",デモトレ履歴!$B$2:$B$168,成績表!$A15&amp;"*")</f>
        <v>0</v>
      </c>
      <c r="C15" s="219">
        <f>SUMIFS(デモトレ履歴!$P$2:$P$168,デモトレ履歴!$M$2:$M$168,"loss",デモトレ履歴!$B$2:$B$168,成績表!$A15&amp;"*")</f>
        <v>-38583</v>
      </c>
      <c r="D15" s="219">
        <f>SUMIFS(デモトレ履歴!$P$2:$P$168,デモトレ履歴!$M$2:$M$168,"drw",デモトレ履歴!$B$2:$B$168,成績表!$A15&amp;"*")</f>
        <v>0</v>
      </c>
      <c r="E15" s="219">
        <f t="shared" si="0"/>
        <v>-38583</v>
      </c>
      <c r="F15" s="220">
        <f>COUNTIF(デモトレ履歴!$B$2:$B$168,成績表!$A15&amp;"*")</f>
        <v>4</v>
      </c>
      <c r="G15" s="220">
        <f>COUNTIFS(デモトレ履歴!$M$2:$M$168,"win",デモトレ履歴!$B$2:$B$168,成績表!$A15&amp;"*")</f>
        <v>0</v>
      </c>
      <c r="H15" s="220">
        <f>COUNTIFS(デモトレ履歴!$M$2:$M$168,"loss",デモトレ履歴!$B$2:$B$168,成績表!$A15&amp;"*")</f>
        <v>3</v>
      </c>
      <c r="I15" s="220">
        <f>COUNTIFS(デモトレ履歴!$M$2:$M$168,"drw",デモトレ履歴!$B$2:$B$168,成績表!$A15&amp;"*")</f>
        <v>1</v>
      </c>
      <c r="J15" s="221">
        <f t="shared" si="5"/>
        <v>0</v>
      </c>
      <c r="K15" s="219">
        <f t="shared" si="1"/>
        <v>0</v>
      </c>
      <c r="L15" s="219">
        <f t="shared" si="2"/>
        <v>12861</v>
      </c>
      <c r="M15" s="234">
        <f t="shared" si="6"/>
        <v>0</v>
      </c>
      <c r="N15" s="235">
        <f t="shared" si="3"/>
        <v>0</v>
      </c>
      <c r="AD15" s="219">
        <f t="shared" si="4"/>
        <v>38583</v>
      </c>
    </row>
    <row r="16" spans="1:30">
      <c r="A16" s="218" t="s">
        <v>459</v>
      </c>
      <c r="B16" s="219">
        <f>SUMIFS(デモトレ履歴!$P$2:$P$168,デモトレ履歴!$M$2:$M$168,"win",デモトレ履歴!$B$2:$B$168,成績表!$A16&amp;"*")</f>
        <v>129624</v>
      </c>
      <c r="C16" s="219">
        <f>SUMIFS(デモトレ履歴!$P$2:$P$168,デモトレ履歴!$M$2:$M$168,"loss",デモトレ履歴!$B$2:$B$168,成績表!$A16&amp;"*")</f>
        <v>-39282</v>
      </c>
      <c r="D16" s="219">
        <f>SUMIFS(デモトレ履歴!$P$2:$P$168,デモトレ履歴!$M$2:$M$168,"drw",デモトレ履歴!$B$2:$B$168,成績表!$A16&amp;"*")</f>
        <v>-3958</v>
      </c>
      <c r="E16" s="219">
        <f t="shared" si="0"/>
        <v>86384</v>
      </c>
      <c r="F16" s="220">
        <f>COUNTIF(デモトレ履歴!$B$2:$B$168,成績表!$A16&amp;"*")</f>
        <v>9</v>
      </c>
      <c r="G16" s="220">
        <f>COUNTIFS(デモトレ履歴!$M$2:$M$168,"win",デモトレ履歴!$B$2:$B$168,成績表!$A16&amp;"*")</f>
        <v>3</v>
      </c>
      <c r="H16" s="220">
        <f>COUNTIFS(デモトレ履歴!$M$2:$M$168,"loss",デモトレ履歴!$B$2:$B$168,成績表!$A16&amp;"*")</f>
        <v>3</v>
      </c>
      <c r="I16" s="220">
        <f>COUNTIFS(デモトレ履歴!$M$2:$M$168,"drw",デモトレ履歴!$B$2:$B$168,成績表!$A16&amp;"*")</f>
        <v>3</v>
      </c>
      <c r="J16" s="221">
        <f t="shared" si="5"/>
        <v>0.33333333333333331</v>
      </c>
      <c r="K16" s="219">
        <f t="shared" si="1"/>
        <v>43208</v>
      </c>
      <c r="L16" s="219">
        <f t="shared" si="2"/>
        <v>13094</v>
      </c>
      <c r="M16" s="234">
        <f t="shared" si="6"/>
        <v>3.2998319841148618</v>
      </c>
      <c r="N16" s="235">
        <f t="shared" si="3"/>
        <v>-3.2998319841148618</v>
      </c>
      <c r="AD16" s="219">
        <f t="shared" si="4"/>
        <v>39282</v>
      </c>
    </row>
    <row r="17" spans="1:30">
      <c r="A17" s="218" t="s">
        <v>460</v>
      </c>
      <c r="B17" s="219">
        <f>SUMIFS(デモトレ履歴!$P$2:$P$168,デモトレ履歴!$M$2:$M$168,"win",デモトレ履歴!$B$2:$B$168,成績表!$A17&amp;"*")</f>
        <v>62599</v>
      </c>
      <c r="C17" s="219">
        <f>SUMIFS(デモトレ履歴!$P$2:$P$168,デモトレ履歴!$M$2:$M$168,"loss",デモトレ履歴!$B$2:$B$168,成績表!$A17&amp;"*")</f>
        <v>-99663</v>
      </c>
      <c r="D17" s="219">
        <f>SUMIFS(デモトレ履歴!$P$2:$P$168,デモトレ履歴!$M$2:$M$168,"drw",デモトレ履歴!$B$2:$B$168,成績表!$A17&amp;"*")</f>
        <v>-1513</v>
      </c>
      <c r="E17" s="219">
        <f t="shared" si="0"/>
        <v>-38577</v>
      </c>
      <c r="F17" s="220">
        <f>COUNTIF(デモトレ履歴!$B$2:$B$168,成績表!$A17&amp;"*")</f>
        <v>9</v>
      </c>
      <c r="G17" s="220">
        <f>COUNTIFS(デモトレ履歴!$M$2:$M$168,"win",デモトレ履歴!$B$2:$B$168,成績表!$A17&amp;"*")</f>
        <v>3</v>
      </c>
      <c r="H17" s="220">
        <f>COUNTIFS(デモトレ履歴!$M$2:$M$168,"loss",デモトレ履歴!$B$2:$B$168,成績表!$A17&amp;"*")</f>
        <v>5</v>
      </c>
      <c r="I17" s="220">
        <f>COUNTIFS(デモトレ履歴!$M$2:$M$168,"drw",デモトレ履歴!$B$2:$B$168,成績表!$A17&amp;"*")</f>
        <v>1</v>
      </c>
      <c r="J17" s="221">
        <f t="shared" si="5"/>
        <v>0.33333333333333331</v>
      </c>
      <c r="K17" s="219">
        <f t="shared" si="1"/>
        <v>20866.333333333332</v>
      </c>
      <c r="L17" s="219">
        <f t="shared" si="2"/>
        <v>19932.599999999999</v>
      </c>
      <c r="M17" s="234">
        <f t="shared" si="6"/>
        <v>1.0468445327420073</v>
      </c>
      <c r="N17" s="235">
        <f t="shared" si="3"/>
        <v>-0.62810671964520437</v>
      </c>
      <c r="AD17" s="219">
        <f t="shared" si="4"/>
        <v>99663</v>
      </c>
    </row>
    <row r="18" spans="1:30">
      <c r="A18" s="218" t="s">
        <v>466</v>
      </c>
      <c r="B18" s="219">
        <f>SUMIFS(デモトレ履歴!$P$2:$P$168,デモトレ履歴!$M$2:$M$168,"win",デモトレ履歴!$B$2:$B$168,成績表!$A18&amp;"*")</f>
        <v>0</v>
      </c>
      <c r="C18" s="219">
        <f>SUMIFS(デモトレ履歴!$P$2:$P$168,デモトレ履歴!$M$2:$M$168,"loss",デモトレ履歴!$B$2:$B$168,成績表!$A18&amp;"*")</f>
        <v>0</v>
      </c>
      <c r="D18" s="219">
        <f>SUMIFS(デモトレ履歴!$P$2:$P$168,デモトレ履歴!$M$2:$M$168,"drw",デモトレ履歴!$B$2:$B$168,成績表!$A18&amp;"*")</f>
        <v>0</v>
      </c>
      <c r="E18" s="219">
        <f t="shared" si="0"/>
        <v>0</v>
      </c>
      <c r="F18" s="220">
        <f>COUNTIF(デモトレ履歴!$B$2:$B$168,成績表!$A18&amp;"*")</f>
        <v>0</v>
      </c>
      <c r="G18" s="220">
        <f>COUNTIFS(デモトレ履歴!$M$2:$M$168,"win",デモトレ履歴!$B$2:$B$168,成績表!$A18&amp;"*")</f>
        <v>0</v>
      </c>
      <c r="H18" s="220">
        <f>COUNTIFS(デモトレ履歴!$M$2:$M$168,"loss",デモトレ履歴!$B$2:$B$168,成績表!$A18&amp;"*")</f>
        <v>0</v>
      </c>
      <c r="I18" s="220">
        <f>COUNTIFS(デモトレ履歴!$M$2:$M$168,"drw",デモトレ履歴!$B$2:$B$168,成績表!$A18&amp;"*")</f>
        <v>0</v>
      </c>
      <c r="J18" s="221">
        <f t="shared" si="5"/>
        <v>0</v>
      </c>
      <c r="K18" s="219">
        <f t="shared" si="1"/>
        <v>0</v>
      </c>
      <c r="L18" s="219">
        <f t="shared" si="2"/>
        <v>0</v>
      </c>
      <c r="M18" s="234">
        <f t="shared" si="6"/>
        <v>0</v>
      </c>
      <c r="N18" s="235">
        <f t="shared" si="3"/>
        <v>0</v>
      </c>
      <c r="AD18" s="219">
        <f t="shared" si="4"/>
        <v>0</v>
      </c>
    </row>
    <row r="19" spans="1:30">
      <c r="A19" s="218" t="s">
        <v>451</v>
      </c>
      <c r="B19" s="219">
        <f>SUMIFS(デモトレ履歴!$P$2:$P$168,デモトレ履歴!$M$2:$M$168,"win",デモトレ履歴!$B$2:$B$168,成績表!$A19&amp;"*")</f>
        <v>89640</v>
      </c>
      <c r="C19" s="219">
        <f>SUMIFS(デモトレ履歴!$P$2:$P$168,デモトレ履歴!$M$2:$M$168,"loss",デモトレ履歴!$B$2:$B$168,成績表!$A19&amp;"*")</f>
        <v>-51349</v>
      </c>
      <c r="D19" s="219">
        <f>SUMIFS(デモトレ履歴!$P$2:$P$168,デモトレ履歴!$M$2:$M$168,"drw",デモトレ履歴!$B$2:$B$168,成績表!$A19&amp;"*")</f>
        <v>2977</v>
      </c>
      <c r="E19" s="219">
        <f t="shared" si="0"/>
        <v>41268</v>
      </c>
      <c r="F19" s="220">
        <f>COUNTIF(デモトレ履歴!$B$2:$B$168,成績表!$A19&amp;"*")</f>
        <v>6</v>
      </c>
      <c r="G19" s="220">
        <f>COUNTIFS(デモトレ履歴!$M$2:$M$168,"win",デモトレ履歴!$B$2:$B$168,成績表!$A19&amp;"*")</f>
        <v>2</v>
      </c>
      <c r="H19" s="220">
        <f>COUNTIFS(デモトレ履歴!$M$2:$M$168,"loss",デモトレ履歴!$B$2:$B$168,成績表!$A19&amp;"*")</f>
        <v>3</v>
      </c>
      <c r="I19" s="220">
        <f>COUNTIFS(デモトレ履歴!$M$2:$M$168,"drw",デモトレ履歴!$B$2:$B$168,成績表!$A19&amp;"*")</f>
        <v>1</v>
      </c>
      <c r="J19" s="221">
        <f t="shared" si="5"/>
        <v>0.33333333333333331</v>
      </c>
      <c r="K19" s="219">
        <f t="shared" si="1"/>
        <v>44820</v>
      </c>
      <c r="L19" s="219">
        <f t="shared" si="2"/>
        <v>17116.333333333332</v>
      </c>
      <c r="M19" s="234">
        <f t="shared" si="6"/>
        <v>2.6185514810415005</v>
      </c>
      <c r="N19" s="235">
        <f t="shared" si="3"/>
        <v>-1.7457009873610003</v>
      </c>
      <c r="AD19" s="219">
        <f t="shared" si="4"/>
        <v>51349</v>
      </c>
    </row>
    <row r="20" spans="1:30">
      <c r="A20" s="218" t="s">
        <v>462</v>
      </c>
      <c r="B20" s="219">
        <f>SUMIFS(デモトレ履歴!$P$2:$P$168,デモトレ履歴!$M$2:$M$168,"win",デモトレ履歴!$B$2:$B$168,成績表!$A20&amp;"*")</f>
        <v>32083</v>
      </c>
      <c r="C20" s="219">
        <f>SUMIFS(デモトレ履歴!$P$2:$P$168,デモトレ履歴!$M$2:$M$168,"loss",デモトレ履歴!$B$2:$B$168,成績表!$A20&amp;"*")</f>
        <v>-44650</v>
      </c>
      <c r="D20" s="219">
        <f>SUMIFS(デモトレ履歴!$P$2:$P$168,デモトレ履歴!$M$2:$M$168,"drw",デモトレ履歴!$B$2:$B$168,成績表!$A20&amp;"*")</f>
        <v>282</v>
      </c>
      <c r="E20" s="219">
        <f t="shared" si="0"/>
        <v>-12285</v>
      </c>
      <c r="F20" s="220">
        <f>COUNTIF(デモトレ履歴!$B$2:$B$168,成績表!$A20&amp;"*")</f>
        <v>9</v>
      </c>
      <c r="G20" s="220">
        <f>COUNTIFS(デモトレ履歴!$M$2:$M$168,"win",デモトレ履歴!$B$2:$B$168,成績表!$A20&amp;"*")</f>
        <v>3</v>
      </c>
      <c r="H20" s="220">
        <f>COUNTIFS(デモトレ履歴!$M$2:$M$168,"loss",デモトレ履歴!$B$2:$B$168,成績表!$A20&amp;"*")</f>
        <v>4</v>
      </c>
      <c r="I20" s="220">
        <f>COUNTIFS(デモトレ履歴!$M$2:$M$168,"drw",デモトレ履歴!$B$2:$B$168,成績表!$A20&amp;"*")</f>
        <v>2</v>
      </c>
      <c r="J20" s="221">
        <f t="shared" si="5"/>
        <v>0.33333333333333331</v>
      </c>
      <c r="K20" s="219">
        <f t="shared" si="1"/>
        <v>10694.333333333334</v>
      </c>
      <c r="L20" s="219">
        <f t="shared" si="2"/>
        <v>11162.5</v>
      </c>
      <c r="M20" s="234">
        <f t="shared" si="6"/>
        <v>0.95805897723030986</v>
      </c>
      <c r="N20" s="235">
        <f t="shared" si="3"/>
        <v>-0.7185442329227324</v>
      </c>
      <c r="AD20" s="219">
        <f t="shared" si="4"/>
        <v>44650</v>
      </c>
    </row>
    <row r="21" spans="1:30">
      <c r="A21" s="218" t="s">
        <v>467</v>
      </c>
      <c r="B21" s="219">
        <f>SUMIFS(デモトレ履歴!$P$2:$P$168,デモトレ履歴!$M$2:$M$168,"win",デモトレ履歴!$B$2:$B$168,成績表!$A21&amp;"*")</f>
        <v>4615</v>
      </c>
      <c r="C21" s="219">
        <f>SUMIFS(デモトレ履歴!$P$2:$P$168,デモトレ履歴!$M$2:$M$168,"loss",デモトレ履歴!$B$2:$B$168,成績表!$A21&amp;"*")</f>
        <v>-47672</v>
      </c>
      <c r="D21" s="219">
        <f>SUMIFS(デモトレ履歴!$P$2:$P$168,デモトレ履歴!$M$2:$M$168,"drw",デモトレ履歴!$B$2:$B$168,成績表!$A21&amp;"*")</f>
        <v>-362</v>
      </c>
      <c r="E21" s="219">
        <f t="shared" si="0"/>
        <v>-43419</v>
      </c>
      <c r="F21" s="220">
        <f>COUNTIF(デモトレ履歴!$B$2:$B$168,成績表!$A21&amp;"*")</f>
        <v>6</v>
      </c>
      <c r="G21" s="220">
        <f>COUNTIFS(デモトレ履歴!$M$2:$M$168,"win",デモトレ履歴!$B$2:$B$168,成績表!$A21&amp;"*")</f>
        <v>1</v>
      </c>
      <c r="H21" s="220">
        <f>COUNTIFS(デモトレ履歴!$M$2:$M$168,"loss",デモトレ履歴!$B$2:$B$168,成績表!$A21&amp;"*")</f>
        <v>4</v>
      </c>
      <c r="I21" s="220">
        <f>COUNTIFS(デモトレ履歴!$M$2:$M$168,"drw",デモトレ履歴!$B$2:$B$168,成績表!$A21&amp;"*")</f>
        <v>1</v>
      </c>
      <c r="J21" s="221">
        <f t="shared" si="5"/>
        <v>0.16666666666666666</v>
      </c>
      <c r="K21" s="219">
        <f t="shared" si="1"/>
        <v>4615</v>
      </c>
      <c r="L21" s="219">
        <f t="shared" si="2"/>
        <v>11918</v>
      </c>
      <c r="M21" s="234">
        <f t="shared" si="6"/>
        <v>0.38722940090619229</v>
      </c>
      <c r="N21" s="235">
        <f t="shared" si="3"/>
        <v>-9.6807350226548072E-2</v>
      </c>
      <c r="AD21" s="219">
        <f t="shared" si="4"/>
        <v>47672</v>
      </c>
    </row>
    <row r="22" spans="1:30">
      <c r="A22" s="218" t="s">
        <v>468</v>
      </c>
      <c r="B22" s="219">
        <f>SUMIFS(デモトレ履歴!$P$2:$P$168,デモトレ履歴!$M$2:$M$168,"win",デモトレ履歴!$B$2:$B$168,成績表!$A22&amp;"*")</f>
        <v>40151</v>
      </c>
      <c r="C22" s="219">
        <f>SUMIFS(デモトレ履歴!$P$2:$P$168,デモトレ履歴!$M$2:$M$168,"loss",デモトレ履歴!$B$2:$B$168,成績表!$A22&amp;"*")</f>
        <v>0</v>
      </c>
      <c r="D22" s="219">
        <f>SUMIFS(デモトレ履歴!$P$2:$P$168,デモトレ履歴!$M$2:$M$168,"drw",デモトレ履歴!$B$2:$B$168,成績表!$A22&amp;"*")</f>
        <v>171</v>
      </c>
      <c r="E22" s="219">
        <f t="shared" si="0"/>
        <v>40322</v>
      </c>
      <c r="F22" s="220">
        <f>COUNTIF(デモトレ履歴!$B$2:$B$168,成績表!$A22&amp;"*")</f>
        <v>3</v>
      </c>
      <c r="G22" s="220">
        <f>COUNTIFS(デモトレ履歴!$M$2:$M$168,"win",デモトレ履歴!$B$2:$B$168,成績表!$A22&amp;"*")</f>
        <v>1</v>
      </c>
      <c r="H22" s="220">
        <f>COUNTIFS(デモトレ履歴!$M$2:$M$168,"loss",デモトレ履歴!$B$2:$B$168,成績表!$A22&amp;"*")</f>
        <v>0</v>
      </c>
      <c r="I22" s="220">
        <f>COUNTIFS(デモトレ履歴!$M$2:$M$168,"drw",デモトレ履歴!$B$2:$B$168,成績表!$A22&amp;"*")</f>
        <v>2</v>
      </c>
      <c r="J22" s="221">
        <f t="shared" si="5"/>
        <v>0.33333333333333331</v>
      </c>
      <c r="K22" s="219">
        <f t="shared" si="1"/>
        <v>40151</v>
      </c>
      <c r="L22" s="219">
        <f t="shared" si="2"/>
        <v>0</v>
      </c>
      <c r="M22" s="234">
        <f t="shared" si="6"/>
        <v>0</v>
      </c>
      <c r="N22" s="235">
        <f t="shared" si="3"/>
        <v>0</v>
      </c>
      <c r="AD22" s="219">
        <f t="shared" si="4"/>
        <v>0</v>
      </c>
    </row>
    <row r="23" spans="1:30">
      <c r="A23" s="218" t="s">
        <v>469</v>
      </c>
      <c r="B23" s="219">
        <f>SUMIFS(デモトレ履歴!$P$2:$P$168,デモトレ履歴!$M$2:$M$168,"win",デモトレ履歴!$B$2:$B$168,成績表!$A23&amp;"*")</f>
        <v>0</v>
      </c>
      <c r="C23" s="219">
        <f>SUMIFS(デモトレ履歴!$P$2:$P$168,デモトレ履歴!$M$2:$M$168,"loss",デモトレ履歴!$B$2:$B$168,成績表!$A23&amp;"*")</f>
        <v>0</v>
      </c>
      <c r="D23" s="219">
        <f>SUMIFS(デモトレ履歴!$P$2:$P$168,デモトレ履歴!$M$2:$M$168,"drw",デモトレ履歴!$B$2:$B$168,成績表!$A23&amp;"*")</f>
        <v>2736</v>
      </c>
      <c r="E23" s="219">
        <f t="shared" si="0"/>
        <v>2736</v>
      </c>
      <c r="F23" s="220">
        <f>COUNTIF(デモトレ履歴!$B$2:$B$168,成績表!$A23&amp;"*")</f>
        <v>1</v>
      </c>
      <c r="G23" s="220">
        <f>COUNTIFS(デモトレ履歴!$M$2:$M$168,"win",デモトレ履歴!$B$2:$B$168,成績表!$A23&amp;"*")</f>
        <v>0</v>
      </c>
      <c r="H23" s="220">
        <f>COUNTIFS(デモトレ履歴!$M$2:$M$168,"loss",デモトレ履歴!$B$2:$B$168,成績表!$A23&amp;"*")</f>
        <v>0</v>
      </c>
      <c r="I23" s="220">
        <f>COUNTIFS(デモトレ履歴!$M$2:$M$168,"drw",デモトレ履歴!$B$2:$B$168,成績表!$A23&amp;"*")</f>
        <v>1</v>
      </c>
      <c r="J23" s="221">
        <f t="shared" si="5"/>
        <v>0</v>
      </c>
      <c r="K23" s="219">
        <f t="shared" si="1"/>
        <v>0</v>
      </c>
      <c r="L23" s="219">
        <f t="shared" si="2"/>
        <v>0</v>
      </c>
      <c r="M23" s="234">
        <f t="shared" si="6"/>
        <v>0</v>
      </c>
      <c r="N23" s="235">
        <f t="shared" si="3"/>
        <v>0</v>
      </c>
      <c r="AD23" s="219">
        <f t="shared" si="4"/>
        <v>0</v>
      </c>
    </row>
    <row r="24" spans="1:30">
      <c r="A24" s="218" t="s">
        <v>470</v>
      </c>
      <c r="B24" s="219">
        <f>SUMIFS(デモトレ履歴!$P$2:$P$168,デモトレ履歴!$M$2:$M$168,"win",デモトレ履歴!$B$2:$B$168,成績表!$A24&amp;"*")</f>
        <v>0</v>
      </c>
      <c r="C24" s="219">
        <f>SUMIFS(デモトレ履歴!$P$2:$P$168,デモトレ履歴!$M$2:$M$168,"loss",デモトレ履歴!$B$2:$B$168,成績表!$A24&amp;"*")</f>
        <v>-35576</v>
      </c>
      <c r="D24" s="219">
        <f>SUMIFS(デモトレ履歴!$P$2:$P$168,デモトレ履歴!$M$2:$M$168,"drw",デモトレ履歴!$B$2:$B$168,成績表!$A24&amp;"*")</f>
        <v>0</v>
      </c>
      <c r="E24" s="219">
        <f t="shared" si="0"/>
        <v>-35576</v>
      </c>
      <c r="F24" s="220">
        <f>COUNTIF(デモトレ履歴!$B$2:$B$168,成績表!$A24&amp;"*")</f>
        <v>2</v>
      </c>
      <c r="G24" s="220">
        <f>COUNTIFS(デモトレ履歴!$M$2:$M$168,"win",デモトレ履歴!$B$2:$B$168,成績表!$A24&amp;"*")</f>
        <v>0</v>
      </c>
      <c r="H24" s="220">
        <f>COUNTIFS(デモトレ履歴!$M$2:$M$168,"loss",デモトレ履歴!$B$2:$B$168,成績表!$A24&amp;"*")</f>
        <v>2</v>
      </c>
      <c r="I24" s="220">
        <f>COUNTIFS(デモトレ履歴!$M$2:$M$168,"drw",デモトレ履歴!$B$2:$B$168,成績表!$A24&amp;"*")</f>
        <v>0</v>
      </c>
      <c r="J24" s="221">
        <f t="shared" si="5"/>
        <v>0</v>
      </c>
      <c r="K24" s="219">
        <f t="shared" si="1"/>
        <v>0</v>
      </c>
      <c r="L24" s="219">
        <f t="shared" si="2"/>
        <v>17788</v>
      </c>
      <c r="M24" s="234">
        <f t="shared" si="6"/>
        <v>0</v>
      </c>
      <c r="N24" s="235">
        <f t="shared" si="3"/>
        <v>0</v>
      </c>
      <c r="AD24" s="219">
        <f t="shared" si="4"/>
        <v>35576</v>
      </c>
    </row>
    <row r="25" spans="1:30">
      <c r="A25" s="218" t="s">
        <v>471</v>
      </c>
      <c r="B25" s="219">
        <f>SUMIFS(デモトレ履歴!$P$2:$P$168,デモトレ履歴!$M$2:$M$168,"win",デモトレ履歴!$B$2:$B$168,成績表!$A25&amp;"*")</f>
        <v>32131</v>
      </c>
      <c r="C25" s="219">
        <f>SUMIFS(デモトレ履歴!$P$2:$P$168,デモトレ履歴!$M$2:$M$168,"loss",デモトレ履歴!$B$2:$B$168,成績表!$A25&amp;"*")</f>
        <v>-33758</v>
      </c>
      <c r="D25" s="219">
        <f>SUMIFS(デモトレ履歴!$P$2:$P$168,デモトレ履歴!$M$2:$M$168,"drw",デモトレ履歴!$B$2:$B$168,成績表!$A25&amp;"*")</f>
        <v>3845</v>
      </c>
      <c r="E25" s="219">
        <f t="shared" si="0"/>
        <v>2218</v>
      </c>
      <c r="F25" s="220">
        <f>COUNTIF(デモトレ履歴!$B$2:$B$168,成績表!$A25&amp;"*")</f>
        <v>4</v>
      </c>
      <c r="G25" s="220">
        <f>COUNTIFS(デモトレ履歴!$M$2:$M$168,"win",デモトレ履歴!$B$2:$B$168,成績表!$A25&amp;"*")</f>
        <v>1</v>
      </c>
      <c r="H25" s="220">
        <f>COUNTIFS(デモトレ履歴!$M$2:$M$168,"loss",デモトレ履歴!$B$2:$B$168,成績表!$A25&amp;"*")</f>
        <v>2</v>
      </c>
      <c r="I25" s="220">
        <f>COUNTIFS(デモトレ履歴!$M$2:$M$168,"drw",デモトレ履歴!$B$2:$B$168,成績表!$A25&amp;"*")</f>
        <v>1</v>
      </c>
      <c r="J25" s="221">
        <f t="shared" si="5"/>
        <v>0.25</v>
      </c>
      <c r="K25" s="219">
        <f t="shared" si="1"/>
        <v>32131</v>
      </c>
      <c r="L25" s="219">
        <f t="shared" si="2"/>
        <v>16879</v>
      </c>
      <c r="M25" s="234">
        <f t="shared" si="6"/>
        <v>1.9036080336512826</v>
      </c>
      <c r="N25" s="235">
        <f t="shared" si="3"/>
        <v>-0.95180401682564131</v>
      </c>
      <c r="AD25" s="219">
        <f t="shared" si="4"/>
        <v>33758</v>
      </c>
    </row>
    <row r="26" spans="1:30">
      <c r="A26" s="218" t="s">
        <v>472</v>
      </c>
      <c r="B26" s="219">
        <f>SUMIFS(デモトレ履歴!$P$2:$P$168,デモトレ履歴!$M$2:$M$168,"win",デモトレ履歴!$B$2:$B$168,成績表!$A26&amp;"*")</f>
        <v>0</v>
      </c>
      <c r="C26" s="219">
        <f>SUMIFS(デモトレ履歴!$P$2:$P$168,デモトレ履歴!$M$2:$M$168,"loss",デモトレ履歴!$B$2:$B$168,成績表!$A26&amp;"*")</f>
        <v>0</v>
      </c>
      <c r="D26" s="219">
        <f>SUMIFS(デモトレ履歴!$P$2:$P$168,デモトレ履歴!$M$2:$M$168,"drw",デモトレ履歴!$B$2:$B$168,成績表!$A26&amp;"*")</f>
        <v>0</v>
      </c>
      <c r="E26" s="219">
        <f t="shared" si="0"/>
        <v>0</v>
      </c>
      <c r="F26" s="220">
        <f>COUNTIF(デモトレ履歴!$B$2:$B$168,成績表!$A26&amp;"*")</f>
        <v>0</v>
      </c>
      <c r="G26" s="220">
        <f>COUNTIFS(デモトレ履歴!$M$2:$M$168,"win",デモトレ履歴!$B$2:$B$168,成績表!$A26&amp;"*")</f>
        <v>0</v>
      </c>
      <c r="H26" s="220">
        <f>COUNTIFS(デモトレ履歴!$M$2:$M$168,"loss",デモトレ履歴!$B$2:$B$168,成績表!$A26&amp;"*")</f>
        <v>0</v>
      </c>
      <c r="I26" s="220">
        <f>COUNTIFS(デモトレ履歴!$M$2:$M$168,"drw",デモトレ履歴!$B$2:$B$168,成績表!$A26&amp;"*")</f>
        <v>0</v>
      </c>
      <c r="J26" s="221">
        <f t="shared" si="5"/>
        <v>0</v>
      </c>
      <c r="K26" s="219">
        <f t="shared" si="1"/>
        <v>0</v>
      </c>
      <c r="L26" s="219">
        <f t="shared" si="2"/>
        <v>0</v>
      </c>
      <c r="M26" s="234">
        <f t="shared" si="6"/>
        <v>0</v>
      </c>
      <c r="N26" s="235">
        <f t="shared" si="3"/>
        <v>0</v>
      </c>
      <c r="AD26" s="219">
        <f t="shared" si="4"/>
        <v>0</v>
      </c>
    </row>
    <row r="27" spans="1:30">
      <c r="A27" s="218" t="s">
        <v>473</v>
      </c>
      <c r="B27" s="219">
        <f>SUMIFS(デモトレ履歴!$P$2:$P$168,デモトレ履歴!$M$2:$M$168,"win",デモトレ履歴!$B$2:$B$168,成績表!$A27&amp;"*")</f>
        <v>0</v>
      </c>
      <c r="C27" s="219">
        <f>SUMIFS(デモトレ履歴!$P$2:$P$168,デモトレ履歴!$M$2:$M$168,"loss",デモトレ履歴!$B$2:$B$168,成績表!$A27&amp;"*")</f>
        <v>-15201</v>
      </c>
      <c r="D27" s="219">
        <f>SUMIFS(デモトレ履歴!$P$2:$P$168,デモトレ履歴!$M$2:$M$168,"drw",デモトレ履歴!$B$2:$B$168,成績表!$A27&amp;"*")</f>
        <v>1798</v>
      </c>
      <c r="E27" s="219">
        <f t="shared" si="0"/>
        <v>-13403</v>
      </c>
      <c r="F27" s="220">
        <f>COUNTIF(デモトレ履歴!$B$2:$B$168,成績表!$A27&amp;"*")</f>
        <v>2</v>
      </c>
      <c r="G27" s="220">
        <f>COUNTIFS(デモトレ履歴!$M$2:$M$168,"win",デモトレ履歴!$B$2:$B$168,成績表!$A27&amp;"*")</f>
        <v>0</v>
      </c>
      <c r="H27" s="220">
        <f>COUNTIFS(デモトレ履歴!$M$2:$M$168,"loss",デモトレ履歴!$B$2:$B$168,成績表!$A27&amp;"*")</f>
        <v>1</v>
      </c>
      <c r="I27" s="220">
        <f>COUNTIFS(デモトレ履歴!$M$2:$M$168,"drw",デモトレ履歴!$B$2:$B$168,成績表!$A27&amp;"*")</f>
        <v>1</v>
      </c>
      <c r="J27" s="221">
        <f t="shared" si="5"/>
        <v>0</v>
      </c>
      <c r="K27" s="219">
        <f t="shared" si="1"/>
        <v>0</v>
      </c>
      <c r="L27" s="219">
        <f t="shared" si="2"/>
        <v>15201</v>
      </c>
      <c r="M27" s="234">
        <f t="shared" si="6"/>
        <v>0</v>
      </c>
      <c r="N27" s="235">
        <f t="shared" si="3"/>
        <v>0</v>
      </c>
      <c r="AD27" s="219">
        <f t="shared" si="4"/>
        <v>15201</v>
      </c>
    </row>
    <row r="28" spans="1:30">
      <c r="A28" s="218" t="s">
        <v>474</v>
      </c>
      <c r="B28" s="219">
        <f>SUMIFS(デモトレ履歴!$P$2:$P$168,デモトレ履歴!$M$2:$M$168,"win",デモトレ履歴!$B$2:$B$168,成績表!$A28&amp;"*")</f>
        <v>0</v>
      </c>
      <c r="C28" s="219">
        <f>SUMIFS(デモトレ履歴!$P$2:$P$168,デモトレ履歴!$M$2:$M$168,"loss",デモトレ履歴!$B$2:$B$168,成績表!$A28&amp;"*")</f>
        <v>0</v>
      </c>
      <c r="D28" s="219">
        <f>SUMIFS(デモトレ履歴!$P$2:$P$168,デモトレ履歴!$M$2:$M$168,"drw",デモトレ履歴!$B$2:$B$168,成績表!$A28&amp;"*")</f>
        <v>0</v>
      </c>
      <c r="E28" s="219">
        <f t="shared" si="0"/>
        <v>0</v>
      </c>
      <c r="F28" s="220">
        <f>COUNTIF(デモトレ履歴!$B$2:$B$168,成績表!$A28&amp;"*")</f>
        <v>0</v>
      </c>
      <c r="G28" s="220">
        <f>COUNTIFS(デモトレ履歴!$M$2:$M$168,"win",デモトレ履歴!$B$2:$B$168,成績表!$A28&amp;"*")</f>
        <v>0</v>
      </c>
      <c r="H28" s="220">
        <f>COUNTIFS(デモトレ履歴!$M$2:$M$168,"loss",デモトレ履歴!$B$2:$B$168,成績表!$A28&amp;"*")</f>
        <v>0</v>
      </c>
      <c r="I28" s="220">
        <f>COUNTIFS(デモトレ履歴!$M$2:$M$168,"drw",デモトレ履歴!$B$2:$B$168,成績表!$A28&amp;"*")</f>
        <v>0</v>
      </c>
      <c r="J28" s="221">
        <f t="shared" si="5"/>
        <v>0</v>
      </c>
      <c r="K28" s="219">
        <f t="shared" si="1"/>
        <v>0</v>
      </c>
      <c r="L28" s="219">
        <f t="shared" si="2"/>
        <v>0</v>
      </c>
      <c r="M28" s="234">
        <f t="shared" si="6"/>
        <v>0</v>
      </c>
      <c r="N28" s="235">
        <f t="shared" si="3"/>
        <v>0</v>
      </c>
      <c r="AD28" s="219">
        <f t="shared" si="4"/>
        <v>0</v>
      </c>
    </row>
    <row r="29" spans="1:30">
      <c r="A29" s="218" t="s">
        <v>475</v>
      </c>
      <c r="B29" s="219">
        <f>SUMIFS(デモトレ履歴!$P$2:$P$168,デモトレ履歴!$M$2:$M$168,"win",デモトレ履歴!$B$2:$B$168,成績表!$A29&amp;"*")</f>
        <v>0</v>
      </c>
      <c r="C29" s="219">
        <f>SUMIFS(デモトレ履歴!$P$2:$P$168,デモトレ履歴!$M$2:$M$168,"loss",デモトレ履歴!$B$2:$B$168,成績表!$A29&amp;"*")</f>
        <v>-31510</v>
      </c>
      <c r="D29" s="219">
        <f>SUMIFS(デモトレ履歴!$P$2:$P$168,デモトレ履歴!$M$2:$M$168,"drw",デモトレ履歴!$B$2:$B$168,成績表!$A29&amp;"*")</f>
        <v>0</v>
      </c>
      <c r="E29" s="219">
        <f t="shared" si="0"/>
        <v>-31510</v>
      </c>
      <c r="F29" s="220">
        <f>COUNTIF(デモトレ履歴!$B$2:$B$168,成績表!$A29&amp;"*")</f>
        <v>2</v>
      </c>
      <c r="G29" s="220">
        <f>COUNTIFS(デモトレ履歴!$M$2:$M$168,"win",デモトレ履歴!$B$2:$B$168,成績表!$A29&amp;"*")</f>
        <v>0</v>
      </c>
      <c r="H29" s="220">
        <f>COUNTIFS(デモトレ履歴!$M$2:$M$168,"loss",デモトレ履歴!$B$2:$B$168,成績表!$A29&amp;"*")</f>
        <v>2</v>
      </c>
      <c r="I29" s="220">
        <f>COUNTIFS(デモトレ履歴!$M$2:$M$168,"drw",デモトレ履歴!$B$2:$B$168,成績表!$A29&amp;"*")</f>
        <v>0</v>
      </c>
      <c r="J29" s="221">
        <f t="shared" si="5"/>
        <v>0</v>
      </c>
      <c r="K29" s="219">
        <f t="shared" si="1"/>
        <v>0</v>
      </c>
      <c r="L29" s="219">
        <f t="shared" si="2"/>
        <v>15755</v>
      </c>
      <c r="M29" s="234">
        <f t="shared" si="6"/>
        <v>0</v>
      </c>
      <c r="N29" s="235">
        <f t="shared" si="3"/>
        <v>0</v>
      </c>
      <c r="AD29" s="219">
        <f t="shared" si="4"/>
        <v>31510</v>
      </c>
    </row>
    <row r="30" spans="1:30">
      <c r="A30" s="218" t="s">
        <v>476</v>
      </c>
      <c r="B30" s="219">
        <f>SUMIFS(デモトレ履歴!$P$2:$P$168,デモトレ履歴!$M$2:$M$168,"win",デモトレ履歴!$B$2:$B$168,成績表!$A30&amp;"*")</f>
        <v>0</v>
      </c>
      <c r="C30" s="219">
        <f>SUMIFS(デモトレ履歴!$P$2:$P$168,デモトレ履歴!$M$2:$M$168,"loss",デモトレ履歴!$B$2:$B$168,成績表!$A30&amp;"*")</f>
        <v>0</v>
      </c>
      <c r="D30" s="219">
        <f>SUMIFS(デモトレ履歴!$P$2:$P$168,デモトレ履歴!$M$2:$M$168,"drw",デモトレ履歴!$B$2:$B$168,成績表!$A30&amp;"*")</f>
        <v>0</v>
      </c>
      <c r="E30" s="219">
        <f t="shared" si="0"/>
        <v>0</v>
      </c>
      <c r="F30" s="220">
        <f>COUNTIF(デモトレ履歴!$B$2:$B$168,成績表!$A30&amp;"*")</f>
        <v>0</v>
      </c>
      <c r="G30" s="220">
        <f>COUNTIFS(デモトレ履歴!$M$2:$M$168,"win",デモトレ履歴!$B$2:$B$168,成績表!$A30&amp;"*")</f>
        <v>0</v>
      </c>
      <c r="H30" s="220">
        <f>COUNTIFS(デモトレ履歴!$M$2:$M$168,"loss",デモトレ履歴!$B$2:$B$168,成績表!$A30&amp;"*")</f>
        <v>0</v>
      </c>
      <c r="I30" s="220">
        <f>COUNTIFS(デモトレ履歴!$M$2:$M$168,"drw",デモトレ履歴!$B$2:$B$168,成績表!$A30&amp;"*")</f>
        <v>0</v>
      </c>
      <c r="J30" s="221">
        <f t="shared" si="5"/>
        <v>0</v>
      </c>
      <c r="K30" s="219">
        <f t="shared" si="1"/>
        <v>0</v>
      </c>
      <c r="L30" s="219">
        <f t="shared" si="2"/>
        <v>0</v>
      </c>
      <c r="M30" s="234">
        <f t="shared" si="6"/>
        <v>0</v>
      </c>
      <c r="N30" s="235">
        <f t="shared" si="3"/>
        <v>0</v>
      </c>
      <c r="AD30" s="219">
        <f t="shared" si="4"/>
        <v>0</v>
      </c>
    </row>
    <row r="31" spans="1:30">
      <c r="A31" s="218" t="s">
        <v>477</v>
      </c>
      <c r="B31" s="219">
        <f>SUMIFS(デモトレ履歴!$P$2:$P$168,デモトレ履歴!$M$2:$M$168,"win",デモトレ履歴!$B$2:$B$168,成績表!$A31&amp;"*")</f>
        <v>25608</v>
      </c>
      <c r="C31" s="219">
        <f>SUMIFS(デモトレ履歴!$P$2:$P$168,デモトレ履歴!$M$2:$M$168,"loss",デモトレ履歴!$B$2:$B$168,成績表!$A31&amp;"*")</f>
        <v>-106184</v>
      </c>
      <c r="D31" s="219">
        <f>SUMIFS(デモトレ履歴!$P$2:$P$168,デモトレ履歴!$M$2:$M$168,"drw",デモトレ履歴!$B$2:$B$168,成績表!$A31&amp;"*")</f>
        <v>-29</v>
      </c>
      <c r="E31" s="219">
        <f t="shared" si="0"/>
        <v>-80605</v>
      </c>
      <c r="F31" s="220">
        <f>COUNTIF(デモトレ履歴!$B$2:$B$168,成績表!$A31&amp;"*")</f>
        <v>7</v>
      </c>
      <c r="G31" s="220">
        <f>COUNTIFS(デモトレ履歴!$M$2:$M$168,"win",デモトレ履歴!$B$2:$B$168,成績表!$A31&amp;"*")</f>
        <v>1</v>
      </c>
      <c r="H31" s="220">
        <f>COUNTIFS(デモトレ履歴!$M$2:$M$168,"loss",デモトレ履歴!$B$2:$B$168,成績表!$A31&amp;"*")</f>
        <v>5</v>
      </c>
      <c r="I31" s="220">
        <f>COUNTIFS(デモトレ履歴!$M$2:$M$168,"drw",デモトレ履歴!$B$2:$B$168,成績表!$A31&amp;"*")</f>
        <v>1</v>
      </c>
      <c r="J31" s="221">
        <f t="shared" si="5"/>
        <v>0.14285714285714285</v>
      </c>
      <c r="K31" s="219">
        <f t="shared" si="1"/>
        <v>25608</v>
      </c>
      <c r="L31" s="219">
        <f t="shared" si="2"/>
        <v>21236.799999999999</v>
      </c>
      <c r="M31" s="234">
        <f t="shared" si="6"/>
        <v>1.205831387026294</v>
      </c>
      <c r="N31" s="235">
        <f t="shared" si="3"/>
        <v>-0.24116627740525878</v>
      </c>
      <c r="AD31" s="219">
        <f t="shared" si="4"/>
        <v>106184</v>
      </c>
    </row>
    <row r="32" spans="1:30">
      <c r="A32" s="218" t="s">
        <v>478</v>
      </c>
      <c r="B32" s="219">
        <f>SUMIFS(デモトレ履歴!$P$2:$P$168,デモトレ履歴!$M$2:$M$168,"win",デモトレ履歴!$B$2:$B$168,成績表!$A32&amp;"*")</f>
        <v>108098</v>
      </c>
      <c r="C32" s="219">
        <f>SUMIFS(デモトレ履歴!$P$2:$P$168,デモトレ履歴!$M$2:$M$168,"loss",デモトレ履歴!$B$2:$B$168,成績表!$A32&amp;"*")</f>
        <v>-114508</v>
      </c>
      <c r="D32" s="219">
        <f>SUMIFS(デモトレ履歴!$P$2:$P$168,デモトレ履歴!$M$2:$M$168,"drw",デモトレ履歴!$B$2:$B$168,成績表!$A32&amp;"*")</f>
        <v>0</v>
      </c>
      <c r="E32" s="219">
        <f t="shared" si="0"/>
        <v>-6410</v>
      </c>
      <c r="F32" s="220">
        <f>COUNTIF(デモトレ履歴!$B$2:$B$168,成績表!$A32&amp;"*")</f>
        <v>8</v>
      </c>
      <c r="G32" s="220">
        <f>COUNTIFS(デモトレ履歴!$M$2:$M$168,"win",デモトレ履歴!$B$2:$B$168,成績表!$A32&amp;"*")</f>
        <v>2</v>
      </c>
      <c r="H32" s="220">
        <f>COUNTIFS(デモトレ履歴!$M$2:$M$168,"loss",デモトレ履歴!$B$2:$B$168,成績表!$A32&amp;"*")</f>
        <v>6</v>
      </c>
      <c r="I32" s="220">
        <f>COUNTIFS(デモトレ履歴!$M$2:$M$168,"drw",デモトレ履歴!$B$2:$B$168,成績表!$A32&amp;"*")</f>
        <v>0</v>
      </c>
      <c r="J32" s="221">
        <f t="shared" si="5"/>
        <v>0.25</v>
      </c>
      <c r="K32" s="219">
        <f t="shared" si="1"/>
        <v>54049</v>
      </c>
      <c r="L32" s="219">
        <f t="shared" si="2"/>
        <v>19084.666666666668</v>
      </c>
      <c r="M32" s="234">
        <f t="shared" si="6"/>
        <v>2.8320641352569251</v>
      </c>
      <c r="N32" s="235">
        <f t="shared" si="3"/>
        <v>-0.94402137841897504</v>
      </c>
      <c r="AD32" s="219">
        <f t="shared" si="4"/>
        <v>114508</v>
      </c>
    </row>
    <row r="33" spans="1:30">
      <c r="A33" s="218" t="s">
        <v>479</v>
      </c>
      <c r="B33" s="219">
        <f>SUMIFS(デモトレ履歴!$P$2:$P$168,デモトレ履歴!$M$2:$M$168,"win",デモトレ履歴!$B$2:$B$168,成績表!$A33&amp;"*")</f>
        <v>7106</v>
      </c>
      <c r="C33" s="219">
        <f>SUMIFS(デモトレ履歴!$P$2:$P$168,デモトレ履歴!$M$2:$M$168,"loss",デモトレ履歴!$B$2:$B$168,成績表!$A33&amp;"*")</f>
        <v>-17613</v>
      </c>
      <c r="D33" s="219">
        <f>SUMIFS(デモトレ履歴!$P$2:$P$168,デモトレ履歴!$M$2:$M$168,"drw",デモトレ履歴!$B$2:$B$168,成績表!$A33&amp;"*")</f>
        <v>0</v>
      </c>
      <c r="E33" s="219">
        <f t="shared" si="0"/>
        <v>-10507</v>
      </c>
      <c r="F33" s="220">
        <f>COUNTIF(デモトレ履歴!$B$2:$B$168,成績表!$A33&amp;"*")</f>
        <v>2</v>
      </c>
      <c r="G33" s="220">
        <f>COUNTIFS(デモトレ履歴!$M$2:$M$168,"win",デモトレ履歴!$B$2:$B$168,成績表!$A33&amp;"*")</f>
        <v>1</v>
      </c>
      <c r="H33" s="220">
        <f>COUNTIFS(デモトレ履歴!$M$2:$M$168,"loss",デモトレ履歴!$B$2:$B$168,成績表!$A33&amp;"*")</f>
        <v>1</v>
      </c>
      <c r="I33" s="220">
        <f>COUNTIFS(デモトレ履歴!$M$2:$M$168,"drw",デモトレ履歴!$B$2:$B$168,成績表!$A33&amp;"*")</f>
        <v>0</v>
      </c>
      <c r="J33" s="221">
        <f t="shared" si="5"/>
        <v>0.5</v>
      </c>
      <c r="K33" s="219">
        <f t="shared" si="1"/>
        <v>7106</v>
      </c>
      <c r="L33" s="219">
        <f t="shared" si="2"/>
        <v>17613</v>
      </c>
      <c r="M33" s="234">
        <f t="shared" si="6"/>
        <v>0.40345199568500539</v>
      </c>
      <c r="N33" s="235">
        <f t="shared" si="3"/>
        <v>-0.40345199568500539</v>
      </c>
      <c r="AD33" s="219">
        <f t="shared" si="4"/>
        <v>17613</v>
      </c>
    </row>
    <row r="34" spans="1:30">
      <c r="A34" s="218" t="s">
        <v>480</v>
      </c>
      <c r="B34" s="219">
        <f>SUMIFS(デモトレ履歴!$P$2:$P$168,デモトレ履歴!$M$2:$M$168,"win",デモトレ履歴!$B$2:$B$168,成績表!$A34&amp;"*")</f>
        <v>0</v>
      </c>
      <c r="C34" s="219">
        <f>SUMIFS(デモトレ履歴!$P$2:$P$168,デモトレ履歴!$M$2:$M$168,"loss",デモトレ履歴!$B$2:$B$168,成績表!$A34&amp;"*")</f>
        <v>0</v>
      </c>
      <c r="D34" s="219">
        <f>SUMIFS(デモトレ履歴!$P$2:$P$168,デモトレ履歴!$M$2:$M$168,"drw",デモトレ履歴!$B$2:$B$168,成績表!$A34&amp;"*")</f>
        <v>0</v>
      </c>
      <c r="E34" s="219">
        <f t="shared" si="0"/>
        <v>0</v>
      </c>
      <c r="F34" s="220">
        <f>COUNTIF(デモトレ履歴!$B$2:$B$168,成績表!$A34&amp;"*")</f>
        <v>0</v>
      </c>
      <c r="G34" s="220">
        <f>COUNTIFS(デモトレ履歴!$M$2:$M$168,"win",デモトレ履歴!$B$2:$B$168,成績表!$A34&amp;"*")</f>
        <v>0</v>
      </c>
      <c r="H34" s="220">
        <f>COUNTIFS(デモトレ履歴!$M$2:$M$168,"loss",デモトレ履歴!$B$2:$B$168,成績表!$A34&amp;"*")</f>
        <v>0</v>
      </c>
      <c r="I34" s="220">
        <f>COUNTIFS(デモトレ履歴!$M$2:$M$168,"drw",デモトレ履歴!$B$2:$B$168,成績表!$A34&amp;"*")</f>
        <v>0</v>
      </c>
      <c r="J34" s="221">
        <f t="shared" si="5"/>
        <v>0</v>
      </c>
      <c r="K34" s="219">
        <f t="shared" si="1"/>
        <v>0</v>
      </c>
      <c r="L34" s="219">
        <f t="shared" si="2"/>
        <v>0</v>
      </c>
      <c r="M34" s="234">
        <f t="shared" si="6"/>
        <v>0</v>
      </c>
      <c r="N34" s="235">
        <f t="shared" si="3"/>
        <v>0</v>
      </c>
      <c r="AD34" s="219">
        <f t="shared" si="4"/>
        <v>0</v>
      </c>
    </row>
    <row r="35" spans="1:30">
      <c r="A35" s="218" t="s">
        <v>481</v>
      </c>
      <c r="B35" s="219">
        <f>SUMIFS(デモトレ履歴!$P$2:$P$168,デモトレ履歴!$M$2:$M$168,"win",デモトレ履歴!$B$2:$B$168,成績表!$A35&amp;"*")</f>
        <v>0</v>
      </c>
      <c r="C35" s="219">
        <f>SUMIFS(デモトレ履歴!$P$2:$P$168,デモトレ履歴!$M$2:$M$168,"loss",デモトレ履歴!$B$2:$B$168,成績表!$A35&amp;"*")</f>
        <v>0</v>
      </c>
      <c r="D35" s="219">
        <f>SUMIFS(デモトレ履歴!$P$2:$P$168,デモトレ履歴!$M$2:$M$168,"drw",デモトレ履歴!$B$2:$B$168,成績表!$A35&amp;"*")</f>
        <v>0</v>
      </c>
      <c r="E35" s="219">
        <f t="shared" si="0"/>
        <v>0</v>
      </c>
      <c r="F35" s="220">
        <f>COUNTIF(デモトレ履歴!$B$2:$B$168,成績表!$A35&amp;"*")</f>
        <v>0</v>
      </c>
      <c r="G35" s="220">
        <f>COUNTIFS(デモトレ履歴!$M$2:$M$168,"win",デモトレ履歴!$B$2:$B$168,成績表!$A35&amp;"*")</f>
        <v>0</v>
      </c>
      <c r="H35" s="220">
        <f>COUNTIFS(デモトレ履歴!$M$2:$M$168,"loss",デモトレ履歴!$B$2:$B$168,成績表!$A35&amp;"*")</f>
        <v>0</v>
      </c>
      <c r="I35" s="220">
        <f>COUNTIFS(デモトレ履歴!$M$2:$M$168,"drw",デモトレ履歴!$B$2:$B$168,成績表!$A35&amp;"*")</f>
        <v>0</v>
      </c>
      <c r="J35" s="221">
        <f t="shared" si="5"/>
        <v>0</v>
      </c>
      <c r="K35" s="219">
        <f t="shared" si="1"/>
        <v>0</v>
      </c>
      <c r="L35" s="219">
        <f t="shared" si="2"/>
        <v>0</v>
      </c>
      <c r="M35" s="234">
        <f t="shared" si="6"/>
        <v>0</v>
      </c>
      <c r="N35" s="235">
        <f t="shared" si="3"/>
        <v>0</v>
      </c>
      <c r="AD35" s="219">
        <f t="shared" si="4"/>
        <v>0</v>
      </c>
    </row>
    <row r="36" spans="1:30">
      <c r="A36" s="222" t="s">
        <v>482</v>
      </c>
      <c r="B36" s="219">
        <f>SUMIFS(デモトレ履歴!$P$2:$P$168,デモトレ履歴!$M$2:$M$168,"win",デモトレ履歴!$B$2:$B$168,成績表!$A36&amp;"*")</f>
        <v>13830</v>
      </c>
      <c r="C36" s="219">
        <f>SUMIFS(デモトレ履歴!$P$2:$P$168,デモトレ履歴!$M$2:$M$168,"loss",デモトレ履歴!$B$2:$B$168,成績表!$A36&amp;"*")</f>
        <v>-51711</v>
      </c>
      <c r="D36" s="219">
        <f>SUMIFS(デモトレ履歴!$P$2:$P$168,デモトレ履歴!$M$2:$M$168,"drw",デモトレ履歴!$B$2:$B$168,成績表!$A36&amp;"*")</f>
        <v>0</v>
      </c>
      <c r="E36" s="219">
        <f t="shared" si="0"/>
        <v>-37881</v>
      </c>
      <c r="F36" s="220">
        <f>COUNTIF(デモトレ履歴!$B$2:$B$168,成績表!$A36&amp;"*")</f>
        <v>4</v>
      </c>
      <c r="G36" s="220">
        <f>COUNTIFS(デモトレ履歴!$M$2:$M$168,"win",デモトレ履歴!$B$2:$B$168,成績表!$A36&amp;"*")</f>
        <v>1</v>
      </c>
      <c r="H36" s="220">
        <f>COUNTIFS(デモトレ履歴!$M$2:$M$168,"loss",デモトレ履歴!$B$2:$B$168,成績表!$A36&amp;"*")</f>
        <v>3</v>
      </c>
      <c r="I36" s="220">
        <f>COUNTIFS(デモトレ履歴!$M$2:$M$168,"drw",デモトレ履歴!$B$2:$B$168,成績表!$A36&amp;"*")</f>
        <v>0</v>
      </c>
      <c r="J36" s="223">
        <f t="shared" si="5"/>
        <v>0.25</v>
      </c>
      <c r="K36" s="224">
        <f t="shared" si="1"/>
        <v>13830</v>
      </c>
      <c r="L36" s="224">
        <f t="shared" si="2"/>
        <v>17237</v>
      </c>
      <c r="M36" s="236">
        <f>IF(AND(K36&lt;&gt;0,L36&lt;&gt;0),K36/L36,0)</f>
        <v>0.80234379532401234</v>
      </c>
      <c r="N36" s="237">
        <f t="shared" si="3"/>
        <v>-0.26744793177467074</v>
      </c>
      <c r="AD36" s="219">
        <f t="shared" si="4"/>
        <v>51711</v>
      </c>
    </row>
    <row r="37" spans="1:30">
      <c r="A37" s="225" t="s">
        <v>446</v>
      </c>
      <c r="B37" s="226">
        <f t="shared" ref="B37:I37" si="7">SUM(B9:B36)</f>
        <v>624175</v>
      </c>
      <c r="C37" s="226">
        <f t="shared" si="7"/>
        <v>-883679</v>
      </c>
      <c r="D37" s="226">
        <f t="shared" si="7"/>
        <v>4781</v>
      </c>
      <c r="E37" s="226">
        <f t="shared" si="7"/>
        <v>-254723</v>
      </c>
      <c r="F37" s="227">
        <f t="shared" si="7"/>
        <v>105</v>
      </c>
      <c r="G37" s="227">
        <f t="shared" si="7"/>
        <v>25</v>
      </c>
      <c r="H37" s="227">
        <f t="shared" si="7"/>
        <v>57</v>
      </c>
      <c r="I37" s="227">
        <f t="shared" si="7"/>
        <v>23</v>
      </c>
      <c r="J37" s="228"/>
      <c r="K37" s="282" t="s">
        <v>447</v>
      </c>
      <c r="L37" s="283"/>
      <c r="M37" s="283"/>
      <c r="N37" s="284"/>
      <c r="AD37" s="226"/>
    </row>
    <row r="38" spans="1:30" ht="36">
      <c r="A38" s="207"/>
      <c r="B38" s="229"/>
      <c r="C38" s="207"/>
      <c r="D38" s="207"/>
      <c r="E38" s="207"/>
      <c r="F38" s="207"/>
      <c r="G38" s="207"/>
      <c r="H38" s="285" t="s">
        <v>448</v>
      </c>
      <c r="I38" s="286"/>
      <c r="J38" s="230">
        <f>AVERAGE(J9:J36)</f>
        <v>0.15291950113378686</v>
      </c>
      <c r="K38" s="225" t="s">
        <v>442</v>
      </c>
      <c r="L38" s="225" t="s">
        <v>443</v>
      </c>
      <c r="M38" s="231" t="s">
        <v>449</v>
      </c>
      <c r="N38" s="231" t="s">
        <v>445</v>
      </c>
      <c r="AD38" s="207"/>
    </row>
    <row r="39" spans="1:30">
      <c r="A39" s="207"/>
      <c r="B39" s="207"/>
      <c r="C39" s="207"/>
      <c r="D39" s="207"/>
      <c r="E39" s="207"/>
      <c r="F39" s="207"/>
      <c r="G39" s="207"/>
      <c r="H39" s="286" t="s">
        <v>450</v>
      </c>
      <c r="I39" s="286"/>
      <c r="J39" s="230">
        <f>G37/F37</f>
        <v>0.23809523809523808</v>
      </c>
      <c r="K39" s="226">
        <f>AVERAGE(K9:K36)</f>
        <v>11450.223809523812</v>
      </c>
      <c r="L39" s="226">
        <f>AVERAGE(L9:L36)</f>
        <v>10615.817857142858</v>
      </c>
      <c r="M39" s="238">
        <f>IF(AND(K39&lt;&gt;0,L39&lt;&gt;0),K39/L39,0)</f>
        <v>1.0786002513993327</v>
      </c>
      <c r="N39" s="238">
        <f>IF(AND(B37&lt;&gt;0,C37&lt;&gt;0),B37/C37,0)</f>
        <v>-0.70633680329621951</v>
      </c>
      <c r="AD39" s="207"/>
    </row>
    <row r="43" spans="1:30" ht="17.25">
      <c r="A43" s="239" t="s">
        <v>487</v>
      </c>
      <c r="B43" s="207"/>
      <c r="C43" s="207"/>
      <c r="D43" s="207"/>
      <c r="E43" s="207"/>
      <c r="F43" s="207"/>
      <c r="G43" s="207"/>
      <c r="H43" s="207"/>
      <c r="I43" s="207"/>
      <c r="J43" s="207"/>
      <c r="K43" s="207"/>
      <c r="L43" s="207"/>
      <c r="M43" s="207"/>
      <c r="N43" s="207"/>
    </row>
    <row r="44" spans="1:30">
      <c r="A44" s="207"/>
      <c r="B44" s="207"/>
      <c r="C44" s="207"/>
      <c r="D44" s="207"/>
      <c r="E44" s="207"/>
      <c r="F44" s="207"/>
      <c r="G44" s="207"/>
      <c r="H44" s="207"/>
      <c r="I44" s="207"/>
      <c r="J44" s="207"/>
      <c r="K44" s="207"/>
      <c r="L44" s="207"/>
      <c r="M44" s="207"/>
      <c r="N44" s="207"/>
    </row>
    <row r="45" spans="1:30" ht="36">
      <c r="A45" s="240" t="s">
        <v>488</v>
      </c>
      <c r="B45" s="240" t="s">
        <v>489</v>
      </c>
      <c r="C45" s="240" t="s">
        <v>490</v>
      </c>
      <c r="D45" s="240" t="s">
        <v>491</v>
      </c>
      <c r="E45" s="241" t="s">
        <v>492</v>
      </c>
      <c r="F45" s="240" t="s">
        <v>493</v>
      </c>
      <c r="G45" s="240" t="s">
        <v>494</v>
      </c>
      <c r="H45" s="240" t="s">
        <v>495</v>
      </c>
      <c r="I45" s="240" t="s">
        <v>496</v>
      </c>
      <c r="J45" s="240" t="s">
        <v>442</v>
      </c>
      <c r="K45" s="240" t="s">
        <v>443</v>
      </c>
      <c r="L45" s="241" t="s">
        <v>502</v>
      </c>
      <c r="M45" s="241" t="s">
        <v>503</v>
      </c>
      <c r="N45" s="241" t="s">
        <v>464</v>
      </c>
      <c r="O45" s="241" t="s">
        <v>497</v>
      </c>
    </row>
    <row r="46" spans="1:30">
      <c r="A46" s="242">
        <f>DATE(YEAR(C4),MONTH(C4),1)</f>
        <v>42217</v>
      </c>
      <c r="B46" s="207">
        <f>SUMIFS(デモトレ履歴!$P$2:$P$168,デモトレ履歴!$M$2:$M$168,"win",デモトレ履歴!$R$2:$R$168,"&lt;"&amp;A47)</f>
        <v>62110</v>
      </c>
      <c r="C46" s="207">
        <f>SUMIFS(デモトレ履歴!$P$2:$P$168,デモトレ履歴!$M$2:$M$168,"loss",デモトレ履歴!$R$2:$R$168,"&lt;"&amp;A47)</f>
        <v>-120225</v>
      </c>
      <c r="D46" s="207">
        <f t="shared" ref="D46:D63" si="8">SUM(B46:C46)</f>
        <v>-58115</v>
      </c>
      <c r="E46" s="207">
        <f>COUNTIF(デモトレ履歴!$R$2:$R$168,"&lt;"&amp;A47)</f>
        <v>14</v>
      </c>
      <c r="F46" s="207">
        <f>COUNTIFS(デモトレ履歴!$M$2:$M$168,"win",デモトレ履歴!$R$2:$R$168,"&lt;"&amp;$A47)</f>
        <v>3</v>
      </c>
      <c r="G46" s="207">
        <f>COUNTIFS(デモトレ履歴!$M$2:$M$168,"loss",デモトレ履歴!$R$2:$R$168,"&lt;"&amp;$A47)</f>
        <v>7</v>
      </c>
      <c r="H46" s="207">
        <f>COUNTIFS(デモトレ履歴!$M$2:$M$168,"drw",デモトレ履歴!$R$2:$R$168,"&lt;"&amp;$A47)</f>
        <v>4</v>
      </c>
      <c r="I46" s="243">
        <f>IF(E46&lt;&gt;0,F46/E46,"")</f>
        <v>0.21428571428571427</v>
      </c>
      <c r="J46" s="244">
        <f t="shared" ref="J46:J63" si="9">IF(B46&lt;&gt;0,B46/F46,0)</f>
        <v>20703.333333333332</v>
      </c>
      <c r="K46" s="244">
        <f t="shared" ref="K46:K63" si="10">IF(C46&lt;&gt;0,C46/G46,0)</f>
        <v>-17175</v>
      </c>
      <c r="L46" s="207">
        <f>IF(AND(J46&lt;&gt;0,K46&lt;&gt;0),J46/K46,0)</f>
        <v>-1.2054342552159145</v>
      </c>
      <c r="M46" s="207">
        <f t="shared" ref="M46:M63" si="11">IF(AND(B46&lt;&gt;0,C46&lt;&gt;0),B46/C46,0)</f>
        <v>-0.51661468080682049</v>
      </c>
      <c r="N46" s="207">
        <f>SUMIFS(デモトレ履歴!$P$2:$P$168,デモトレ履歴!$M$2:$M$168,"drw",デモトレ履歴!$R$2:$R$168,"&lt;"&amp;A47)</f>
        <v>-200</v>
      </c>
      <c r="O46" s="244">
        <f>SUM($C$2,$D46)</f>
        <v>941885</v>
      </c>
    </row>
    <row r="47" spans="1:30">
      <c r="A47" s="242">
        <f>IF(A45&lt;&gt;"",DATE(YEAR(A46),MONTH(A46)+1,1),"")</f>
        <v>42248</v>
      </c>
      <c r="B47" s="207">
        <f>SUMIFS(デモトレ履歴!$P$2:$P$168,デモトレ履歴!$M$2:$M$168,"win",デモトレ履歴!$R$2:$R$168,"&lt;"&amp;A48)-B46</f>
        <v>304000</v>
      </c>
      <c r="C47" s="207">
        <f>SUMIFS(デモトレ履歴!$P$2:$P$168,デモトレ履歴!$M$2:$M$168,"loss",デモトレ履歴!$R$2:$R$168,"&lt;"&amp;A48)-C46</f>
        <v>-323000</v>
      </c>
      <c r="D47" s="207">
        <f t="shared" si="8"/>
        <v>-19000</v>
      </c>
      <c r="E47" s="207">
        <f>IF(A47&lt;&gt;"",COUNTIF(デモトレ履歴!$R$2:$R$168,"&lt;"&amp;IF(A48&lt;&gt;"",A48,DATE(YEAR(A47),MONTH(A47),DAY(EOMONTH(A47,0)))))-SUM($E$46:$E46),0)</f>
        <v>39</v>
      </c>
      <c r="F47" s="207">
        <f>COUNTIFS(デモトレ履歴!$M$2:$M$168,"win",デモトレ履歴!$R$2:$R$168,"&lt;"&amp;$A48)-F46</f>
        <v>12</v>
      </c>
      <c r="G47" s="207">
        <f>COUNTIFS(デモトレ履歴!$M$2:$M$168,"loss",デモトレ履歴!$R$2:$R$168,"&lt;"&amp;$A48)-G46</f>
        <v>19</v>
      </c>
      <c r="H47" s="207">
        <f>COUNTIFS(デモトレ履歴!$M$2:$M$168,"drw",デモトレ履歴!$R$2:$R$168,"&lt;"&amp;$A48)-H46</f>
        <v>8</v>
      </c>
      <c r="I47" s="243">
        <f>IF(E47&lt;&gt;0,F47/E47,0)</f>
        <v>0.30769230769230771</v>
      </c>
      <c r="J47" s="244">
        <f t="shared" si="9"/>
        <v>25333.333333333332</v>
      </c>
      <c r="K47" s="244">
        <f t="shared" si="10"/>
        <v>-17000</v>
      </c>
      <c r="L47" s="207">
        <f>IF(AND(J47&lt;&gt;0,K47&lt;&gt;0),J47/K47,0)</f>
        <v>-1.4901960784313726</v>
      </c>
      <c r="M47" s="207">
        <f t="shared" si="11"/>
        <v>-0.94117647058823528</v>
      </c>
      <c r="N47" s="207">
        <f>SUMIFS(デモトレ履歴!$P$2:$P$168,デモトレ履歴!$M$2:$M$168,"drw",デモトレ履歴!$R$2:$R$168,"&lt;"&amp;A48)-N46</f>
        <v>-20</v>
      </c>
      <c r="O47" s="244">
        <f t="shared" ref="O47:O63" si="12">SUM(O46,$D47)</f>
        <v>922885</v>
      </c>
    </row>
    <row r="48" spans="1:30">
      <c r="A48" s="242">
        <f t="shared" ref="A48:A63" si="13">IF(A46&lt;&gt;"",DATE(YEAR(A47),MONTH(A47)+1,1),"")</f>
        <v>42278</v>
      </c>
      <c r="B48" s="207">
        <f>IF(E48&gt;0,SUMIFS(デモトレ履歴!$P$2:$P$168,デモトレ履歴!$M$2:$M$168,"win",デモトレ履歴!$R$2:$R168,"&lt;"&amp;IF(A49&lt;&gt;"",A49,DATE(YEAR(A48),MONTH(A48),DAY(EOMONTH(A48,0)))))-SUM($B$44:$B47),0)</f>
        <v>241224</v>
      </c>
      <c r="C48" s="207">
        <f>IF(E48&gt;0,SUMIFS(デモトレ履歴!$P$2:$P$168,デモトレ履歴!$M$2:$M$168,"loss",デモトレ履歴!$R$2:$R$168,"&lt;"&amp;IF(A49&lt;&gt;"",A49,DATE(YEAR(A48),MONTH(A48),DAY(EOMONTH(A48,0)))))-SUM($C$46:$C47),0)</f>
        <v>-355130</v>
      </c>
      <c r="D48" s="207">
        <f t="shared" si="8"/>
        <v>-113906</v>
      </c>
      <c r="E48" s="207">
        <f>IF(A48&lt;&gt;"",COUNTIF(デモトレ履歴!$R$2:$R$168,"&lt;"&amp;IF(A49&lt;&gt;"",A49,DATE(YEAR(A48),MONTH(A48),DAY(EOMONTH(A48,0)))))-SUM($E$46:$E47),0)</f>
        <v>35</v>
      </c>
      <c r="F48" s="207">
        <f>IF(A49&lt;&gt;"",COUNTIFS(デモトレ履歴!$M$2:$M$168,"win",デモトレ履歴!$R$2:$R$168,"&lt;"&amp;IF(A49&lt;&gt;"",A49,DATE(YEAR(A48),MONTH(A48),DAY(EOMONTH(A48,0)))))-SUM($F$46:$F47),0)</f>
        <v>7</v>
      </c>
      <c r="G48" s="207">
        <f>IF(A49&lt;&gt;"",COUNTIFS(デモトレ履歴!$M$2:$M$168,"loss",デモトレ履歴!$R$2:$R$168,"&lt;"&amp;IF(A49&lt;&gt;"",A49,DATE(YEAR(A48),MONTH(A48),DAY(EOMONTH(A48,0)))))-SUM($G$46:$G47),0)</f>
        <v>23</v>
      </c>
      <c r="H48" s="207">
        <f>COUNTIFS(デモトレ履歴!$M$2:$M$168,"drw",デモトレ履歴!$R$2:$R$168,"&lt;"&amp;IF(A49&lt;&gt;"",A49,DATE(YEAR(A48),MONTH(A48),DAY(EOMONTH(A48,0)))))-SUM($H$46:$H47)</f>
        <v>5</v>
      </c>
      <c r="I48" s="243">
        <f t="shared" ref="I48:I63" si="14">IF(E48&lt;&gt;0,F48/E48,0)</f>
        <v>0.2</v>
      </c>
      <c r="J48" s="244">
        <f t="shared" si="9"/>
        <v>34460.571428571428</v>
      </c>
      <c r="K48" s="244">
        <f t="shared" si="10"/>
        <v>-15440.434782608696</v>
      </c>
      <c r="L48" s="207">
        <f t="shared" ref="L48:L63" si="15">IF(AND(J48&lt;&gt;0,K48&lt;&gt;0),J48/K48,0)</f>
        <v>-2.2318394471239906</v>
      </c>
      <c r="M48" s="207">
        <f t="shared" si="11"/>
        <v>-0.6792554839073015</v>
      </c>
      <c r="N48" s="207">
        <f>IF(E48&gt;0,SUMIFS(デモトレ履歴!$P$2:$P$168,デモトレ履歴!$M$2:$M$168,"drw",デモトレ履歴!$R$2:$R$168,"&lt;"&amp;IF(A49&lt;&gt;"",A49,DATE(YEAR(A48),MONTH(A48),DAY(EOMONTH(A48,0)))))-SUM($N$46:$N47),0)</f>
        <v>9767</v>
      </c>
      <c r="O48" s="244">
        <f t="shared" si="12"/>
        <v>808979</v>
      </c>
    </row>
    <row r="49" spans="1:15">
      <c r="A49" s="242">
        <f t="shared" si="13"/>
        <v>42309</v>
      </c>
      <c r="B49" s="207">
        <f>IF(E49&gt;0,SUMIFS(デモトレ履歴!$P$2:$P$168,デモトレ履歴!$M$2:$M$168,"win",デモトレ履歴!$R$2:$R169,"&lt;"&amp;IF(A50&lt;&gt;"",A50,DATE(YEAR(A49),MONTH(A49),DAY(EOMONTH(A49,0)))))-SUM($B$44:$B48),0)</f>
        <v>0</v>
      </c>
      <c r="C49" s="207">
        <f>IF(E49&gt;0,SUMIFS(デモトレ履歴!$P$2:$P$168,デモトレ履歴!$M$2:$M$168,"loss",デモトレ履歴!$R$2:$R$168,"&lt;"&amp;IF(A50&lt;&gt;"",A50,DATE(YEAR(A49),MONTH(A49),DAY(EOMONTH(A49,0)))))-SUM($C$46:$C48),0)</f>
        <v>0</v>
      </c>
      <c r="D49" s="207">
        <f t="shared" si="8"/>
        <v>0</v>
      </c>
      <c r="E49" s="207">
        <f>IF(A49&lt;&gt;"",COUNTIF(デモトレ履歴!$R$2:$R$168,"&lt;"&amp;IF(A50&lt;&gt;"",A50,DATE(YEAR(A49),MONTH(A49),DAY(EOMONTH(A49,0)))))-SUM($E$46:$E48),0)</f>
        <v>0</v>
      </c>
      <c r="F49" s="207">
        <f>IF(A50&lt;&gt;"",COUNTIFS(デモトレ履歴!$M$2:$M$168,"win",デモトレ履歴!$R$2:$R$168,"&lt;"&amp;IF(A50&lt;&gt;"",A50,DATE(YEAR(A49),MONTH(A49),DAY(EOMONTH(A49,0)))))-SUM($F$46:$F48),0)</f>
        <v>0</v>
      </c>
      <c r="G49" s="207">
        <f>IF(A50&lt;&gt;"",COUNTIFS(デモトレ履歴!$M$2:$M$168,"loss",デモトレ履歴!$R$2:$R$168,"&lt;"&amp;IF(A50&lt;&gt;"",A50,DATE(YEAR(A49),MONTH(A49),DAY(EOMONTH(A49,0)))))-SUM($G$46:$G48),0)</f>
        <v>0</v>
      </c>
      <c r="H49" s="207">
        <f>COUNTIFS(デモトレ履歴!$M$2:$M$168,"drw",デモトレ履歴!$R$2:$R$168,"&lt;"&amp;IF(A50&lt;&gt;"",A50,DATE(YEAR(A49),MONTH(A49),DAY(EOMONTH(A49,0)))))-SUM($H$46:$H48)</f>
        <v>0</v>
      </c>
      <c r="I49" s="243">
        <f t="shared" si="14"/>
        <v>0</v>
      </c>
      <c r="J49" s="244">
        <f t="shared" si="9"/>
        <v>0</v>
      </c>
      <c r="K49" s="244">
        <f t="shared" si="10"/>
        <v>0</v>
      </c>
      <c r="L49" s="207">
        <f t="shared" si="15"/>
        <v>0</v>
      </c>
      <c r="M49" s="207">
        <f t="shared" si="11"/>
        <v>0</v>
      </c>
      <c r="N49" s="207">
        <f>IF(E49&gt;0,SUMIFS(デモトレ履歴!$P$2:$P$168,デモトレ履歴!$M$2:$M$168,"drw",デモトレ履歴!$R$2:$R$168,"&lt;"&amp;IF(A50&lt;&gt;"",A50,DATE(YEAR(A49),MONTH(A49),DAY(EOMONTH(A49,0)))))-SUM($C$46:$C48),0)</f>
        <v>0</v>
      </c>
      <c r="O49" s="244">
        <f t="shared" si="12"/>
        <v>808979</v>
      </c>
    </row>
    <row r="50" spans="1:15">
      <c r="A50" s="242">
        <f t="shared" si="13"/>
        <v>42339</v>
      </c>
      <c r="B50" s="207">
        <f>IF(E50&gt;0,SUMIFS(デモトレ履歴!$P$2:$P$168,デモトレ履歴!$M$2:$M$168,"win",デモトレ履歴!$R$2:$R170,"&lt;"&amp;IF(A51&lt;&gt;"",A51,DATE(YEAR(A50),MONTH(A50),DAY(EOMONTH(A50,0)))))-SUM($B$44:$B49),0)</f>
        <v>0</v>
      </c>
      <c r="C50" s="207">
        <f>IF(E50&gt;0,SUMIFS(デモトレ履歴!$P$2:$P$168,デモトレ履歴!$M$2:$M$168,"loss",デモトレ履歴!$R$2:$R$168,"&lt;"&amp;IF(A51&lt;&gt;"",A51,DATE(YEAR(A50),MONTH(A50),DAY(EOMONTH(A50,0)))))-SUM($C$46:$C49),0)</f>
        <v>0</v>
      </c>
      <c r="D50" s="207">
        <f t="shared" si="8"/>
        <v>0</v>
      </c>
      <c r="E50" s="207">
        <f>IF(A50&lt;&gt;"",COUNTIF(デモトレ履歴!$R$2:$R$168,"&lt;"&amp;IF(A51&lt;&gt;"",A51,DATE(YEAR(A50),MONTH(A50),DAY(EOMONTH(A50,0)))))-SUM($E$46:$E49),0)</f>
        <v>0</v>
      </c>
      <c r="F50" s="207">
        <f>IF(A51&lt;&gt;"",COUNTIFS(デモトレ履歴!$M$2:$M$168,"win",デモトレ履歴!$R$2:$R$168,"&lt;"&amp;IF(A51&lt;&gt;"",A51,DATE(YEAR(A50),MONTH(A50),DAY(EOMONTH(A50,0)))))-SUM($F$46:$F49),0)</f>
        <v>0</v>
      </c>
      <c r="G50" s="207">
        <f>IF(A51&lt;&gt;"",COUNTIFS(デモトレ履歴!$M$2:$M$168,"loss",デモトレ履歴!$R$2:$R$168,"&lt;"&amp;IF(A51&lt;&gt;"",A51,DATE(YEAR(A50),MONTH(A50),DAY(EOMONTH(A50,0)))))-SUM($G$46:$G49),0)</f>
        <v>0</v>
      </c>
      <c r="H50" s="207">
        <f>COUNTIFS(デモトレ履歴!$M$2:$M$168,"drw",デモトレ履歴!$R$2:$R$168,"&lt;"&amp;IF(A51&lt;&gt;"",A51,DATE(YEAR(A50),MONTH(A50),DAY(EOMONTH(A50,0)))))-SUM($H$46:$H49)</f>
        <v>0</v>
      </c>
      <c r="I50" s="243">
        <f t="shared" si="14"/>
        <v>0</v>
      </c>
      <c r="J50" s="244">
        <f t="shared" si="9"/>
        <v>0</v>
      </c>
      <c r="K50" s="244">
        <f t="shared" si="10"/>
        <v>0</v>
      </c>
      <c r="L50" s="207">
        <f t="shared" si="15"/>
        <v>0</v>
      </c>
      <c r="M50" s="207">
        <f t="shared" si="11"/>
        <v>0</v>
      </c>
      <c r="N50" s="207">
        <f>IF(E50&gt;0,SUMIFS(デモトレ履歴!$P$2:$P$168,デモトレ履歴!$M$2:$M$168,"drw",デモトレ履歴!$R$2:$R$168,"&lt;"&amp;IF(A51&lt;&gt;"",A51,DATE(YEAR(A50),MONTH(A50),DAY(EOMONTH(A50,0)))))-SUM($C$46:$C49),0)</f>
        <v>0</v>
      </c>
      <c r="O50" s="244">
        <f t="shared" si="12"/>
        <v>808979</v>
      </c>
    </row>
    <row r="51" spans="1:15">
      <c r="A51" s="242">
        <f t="shared" si="13"/>
        <v>42370</v>
      </c>
      <c r="B51" s="207">
        <f>IF(E51&gt;0,SUMIFS(デモトレ履歴!$P$2:$P$168,デモトレ履歴!$M$2:$M$168,"win",デモトレ履歴!$R$2:$R171,"&lt;"&amp;IF(A52&lt;&gt;"",A52,DATE(YEAR(A51),MONTH(A51),DAY(EOMONTH(A51,0)))))-SUM($B$44:$B50),0)</f>
        <v>0</v>
      </c>
      <c r="C51" s="207">
        <f>IF(E51&gt;0,SUMIFS(デモトレ履歴!$P$2:$P$168,デモトレ履歴!$M$2:$M$168,"loss",デモトレ履歴!$R$2:$R$168,"&lt;"&amp;IF(A52&lt;&gt;"",A52,DATE(YEAR(A51),MONTH(A51),DAY(EOMONTH(A51,0)))))-SUM($C$46:$C50),0)</f>
        <v>0</v>
      </c>
      <c r="D51" s="207">
        <f t="shared" si="8"/>
        <v>0</v>
      </c>
      <c r="E51" s="207">
        <f>IF(A51&lt;&gt;"",COUNTIF(デモトレ履歴!$R$2:$R$168,"&lt;"&amp;IF(A52&lt;&gt;"",A52,DATE(YEAR(A51),MONTH(A51),DAY(EOMONTH(A51,0)))))-SUM($E$46:$E50),0)</f>
        <v>0</v>
      </c>
      <c r="F51" s="207">
        <f>IF(A52&lt;&gt;"",COUNTIFS(デモトレ履歴!$M$2:$M$168,"win",デモトレ履歴!$R$2:$R$168,"&lt;"&amp;IF(A52&lt;&gt;"",A52,DATE(YEAR(A51),MONTH(A51),DAY(EOMONTH(A51,0)))))-SUM($F$46:$F50),0)</f>
        <v>0</v>
      </c>
      <c r="G51" s="207">
        <f>IF(A52&lt;&gt;"",COUNTIFS(デモトレ履歴!$M$2:$M$168,"loss",デモトレ履歴!$R$2:$R$168,"&lt;"&amp;IF(A52&lt;&gt;"",A52,DATE(YEAR(A51),MONTH(A51),DAY(EOMONTH(A51,0)))))-SUM($G$46:$G50),0)</f>
        <v>0</v>
      </c>
      <c r="H51" s="207">
        <f>COUNTIFS(デモトレ履歴!$M$2:$M$168,"drw",デモトレ履歴!$R$2:$R$168,"&lt;"&amp;IF(A52&lt;&gt;"",A52,DATE(YEAR(A51),MONTH(A51),DAY(EOMONTH(A51,0)))))-SUM($H$46:$H50)</f>
        <v>0</v>
      </c>
      <c r="I51" s="243">
        <f t="shared" si="14"/>
        <v>0</v>
      </c>
      <c r="J51" s="244">
        <f t="shared" si="9"/>
        <v>0</v>
      </c>
      <c r="K51" s="244">
        <f t="shared" si="10"/>
        <v>0</v>
      </c>
      <c r="L51" s="207">
        <f t="shared" si="15"/>
        <v>0</v>
      </c>
      <c r="M51" s="207">
        <f t="shared" si="11"/>
        <v>0</v>
      </c>
      <c r="N51" s="207">
        <f>IF(E51&gt;0,SUMIFS(デモトレ履歴!$P$2:$P$168,デモトレ履歴!$M$2:$M$168,"drw",デモトレ履歴!$R$2:$R$168,"&lt;"&amp;IF(A52&lt;&gt;"",A52,DATE(YEAR(A51),MONTH(A51),DAY(EOMONTH(A51,0)))))-SUM($C$46:$C50),0)</f>
        <v>0</v>
      </c>
      <c r="O51" s="244">
        <f t="shared" si="12"/>
        <v>808979</v>
      </c>
    </row>
    <row r="52" spans="1:15">
      <c r="A52" s="242">
        <f t="shared" si="13"/>
        <v>42401</v>
      </c>
      <c r="B52" s="207">
        <f>IF(E52&gt;0,SUMIFS(デモトレ履歴!$P$2:$P$168,デモトレ履歴!$M$2:$M$168,"win",デモトレ履歴!$R$2:$R172,"&lt;"&amp;IF(A53&lt;&gt;"",A53,DATE(YEAR(A52),MONTH(A52),DAY(EOMONTH(A52,0)))))-SUM($B$44:$B51),0)</f>
        <v>0</v>
      </c>
      <c r="C52" s="207">
        <f>IF(E52&gt;0,SUMIFS(デモトレ履歴!$P$2:$P$168,デモトレ履歴!$M$2:$M$168,"loss",デモトレ履歴!$R$2:$R$168,"&lt;"&amp;IF(A53&lt;&gt;"",A53,DATE(YEAR(A52),MONTH(A52),DAY(EOMONTH(A52,0)))))-SUM($C$46:$C51),0)</f>
        <v>0</v>
      </c>
      <c r="D52" s="207">
        <f t="shared" si="8"/>
        <v>0</v>
      </c>
      <c r="E52" s="207">
        <f>IF(A52&lt;&gt;"",COUNTIF(デモトレ履歴!$R$2:$R$168,"&lt;"&amp;IF(A53&lt;&gt;"",A53,DATE(YEAR(A52),MONTH(A52),DAY(EOMONTH(A52,0)))))-SUM($E$46:$E51),0)</f>
        <v>0</v>
      </c>
      <c r="F52" s="207">
        <f>IF(A53&lt;&gt;"",COUNTIFS(デモトレ履歴!$M$2:$M$168,"win",デモトレ履歴!$R$2:$R$168,"&lt;"&amp;IF(A53&lt;&gt;"",A53,DATE(YEAR(A52),MONTH(A52),DAY(EOMONTH(A52,0)))))-SUM($F$46:$F51),0)</f>
        <v>0</v>
      </c>
      <c r="G52" s="207">
        <f>IF(A53&lt;&gt;"",COUNTIFS(デモトレ履歴!$M$2:$M$168,"loss",デモトレ履歴!$R$2:$R$168,"&lt;"&amp;IF(A53&lt;&gt;"",A53,DATE(YEAR(A52),MONTH(A52),DAY(EOMONTH(A52,0)))))-SUM($G$46:$G51),0)</f>
        <v>0</v>
      </c>
      <c r="H52" s="207">
        <f>COUNTIFS(デモトレ履歴!$M$2:$M$168,"drw",デモトレ履歴!$R$2:$R$168,"&lt;"&amp;IF(A53&lt;&gt;"",A53,DATE(YEAR(A52),MONTH(A52),DAY(EOMONTH(A52,0)))))-SUM($H$46:$H51)</f>
        <v>0</v>
      </c>
      <c r="I52" s="243">
        <f t="shared" si="14"/>
        <v>0</v>
      </c>
      <c r="J52" s="244">
        <f t="shared" si="9"/>
        <v>0</v>
      </c>
      <c r="K52" s="244">
        <f t="shared" si="10"/>
        <v>0</v>
      </c>
      <c r="L52" s="207">
        <f t="shared" si="15"/>
        <v>0</v>
      </c>
      <c r="M52" s="207">
        <f t="shared" si="11"/>
        <v>0</v>
      </c>
      <c r="N52" s="207">
        <f>IF(E52&gt;0,SUMIFS(デモトレ履歴!$P$2:$P$168,デモトレ履歴!$M$2:$M$168,"drw",デモトレ履歴!$R$2:$R$168,"&lt;"&amp;IF(A53&lt;&gt;"",A53,DATE(YEAR(A52),MONTH(A52),DAY(EOMONTH(A52,0)))))-SUM($C$46:$C51),0)</f>
        <v>0</v>
      </c>
      <c r="O52" s="244">
        <f t="shared" si="12"/>
        <v>808979</v>
      </c>
    </row>
    <row r="53" spans="1:15">
      <c r="A53" s="242">
        <f t="shared" si="13"/>
        <v>42430</v>
      </c>
      <c r="B53" s="207">
        <f>IF(E53&gt;0,SUMIFS(デモトレ履歴!$P$2:$P$168,デモトレ履歴!$M$2:$M$168,"win",デモトレ履歴!$R$2:$R173,"&lt;"&amp;IF(A54&lt;&gt;"",A54,DATE(YEAR(A53),MONTH(A53),DAY(EOMONTH(A53,0)))))-SUM($B$44:$B52),0)</f>
        <v>0</v>
      </c>
      <c r="C53" s="207">
        <f>IF(E53&gt;0,SUMIFS(デモトレ履歴!$P$2:$P$168,デモトレ履歴!$M$2:$M$168,"loss",デモトレ履歴!$R$2:$R$168,"&lt;"&amp;IF(A54&lt;&gt;"",A54,DATE(YEAR(A53),MONTH(A53),DAY(EOMONTH(A53,0)))))-SUM($C$46:$C52),0)</f>
        <v>0</v>
      </c>
      <c r="D53" s="207">
        <f t="shared" si="8"/>
        <v>0</v>
      </c>
      <c r="E53" s="207">
        <f>IF(A53&lt;&gt;"",COUNTIF(デモトレ履歴!$R$2:$R$168,"&lt;"&amp;IF(A54&lt;&gt;"",A54,DATE(YEAR(A53),MONTH(A53),DAY(EOMONTH(A53,0)))))-SUM($E$46:$E52),0)</f>
        <v>0</v>
      </c>
      <c r="F53" s="207">
        <f>IF(A54&lt;&gt;"",COUNTIFS(デモトレ履歴!$M$2:$M$168,"win",デモトレ履歴!$R$2:$R$168,"&lt;"&amp;IF(A54&lt;&gt;"",A54,DATE(YEAR(A53),MONTH(A53),DAY(EOMONTH(A53,0)))))-SUM($F$46:$F52),0)</f>
        <v>0</v>
      </c>
      <c r="G53" s="207">
        <f>IF(A54&lt;&gt;"",COUNTIFS(デモトレ履歴!$M$2:$M$168,"loss",デモトレ履歴!$R$2:$R$168,"&lt;"&amp;IF(A54&lt;&gt;"",A54,DATE(YEAR(A53),MONTH(A53),DAY(EOMONTH(A53,0)))))-SUM($G$46:$G52),0)</f>
        <v>0</v>
      </c>
      <c r="H53" s="207">
        <f>COUNTIFS(デモトレ履歴!$M$2:$M$168,"drw",デモトレ履歴!$R$2:$R$168,"&lt;"&amp;IF(A54&lt;&gt;"",A54,DATE(YEAR(A53),MONTH(A53),DAY(EOMONTH(A53,0)))))-SUM($H$46:$H52)</f>
        <v>0</v>
      </c>
      <c r="I53" s="243">
        <f t="shared" si="14"/>
        <v>0</v>
      </c>
      <c r="J53" s="244">
        <f t="shared" si="9"/>
        <v>0</v>
      </c>
      <c r="K53" s="244">
        <f t="shared" si="10"/>
        <v>0</v>
      </c>
      <c r="L53" s="207">
        <f t="shared" si="15"/>
        <v>0</v>
      </c>
      <c r="M53" s="207">
        <f t="shared" si="11"/>
        <v>0</v>
      </c>
      <c r="N53" s="207">
        <f>IF(E53&gt;0,SUMIFS(デモトレ履歴!$P$2:$P$168,デモトレ履歴!$M$2:$M$168,"drw",デモトレ履歴!$R$2:$R$168,"&lt;"&amp;IF(A54&lt;&gt;"",A54,DATE(YEAR(A53),MONTH(A53),DAY(EOMONTH(A53,0)))))-SUM($C$46:$C52),0)</f>
        <v>0</v>
      </c>
      <c r="O53" s="244">
        <f t="shared" si="12"/>
        <v>808979</v>
      </c>
    </row>
    <row r="54" spans="1:15">
      <c r="A54" s="242">
        <f t="shared" si="13"/>
        <v>42461</v>
      </c>
      <c r="B54" s="207">
        <f>IF(E54&gt;0,SUMIFS(デモトレ履歴!$P$2:$P$168,デモトレ履歴!$M$2:$M$168,"win",デモトレ履歴!$R$2:$R174,"&lt;"&amp;IF(A55&lt;&gt;"",A55,DATE(YEAR(A54),MONTH(A54),DAY(EOMONTH(A54,0)))))-SUM($B$44:$B53),0)</f>
        <v>0</v>
      </c>
      <c r="C54" s="207">
        <f>IF(E54&gt;0,SUMIFS(デモトレ履歴!$P$2:$P$168,デモトレ履歴!$M$2:$M$168,"loss",デモトレ履歴!$R$2:$R$168,"&lt;"&amp;IF(A55&lt;&gt;"",A55,DATE(YEAR(A54),MONTH(A54),DAY(EOMONTH(A54,0)))))-SUM($C$46:$C53),0)</f>
        <v>0</v>
      </c>
      <c r="D54" s="207">
        <f t="shared" si="8"/>
        <v>0</v>
      </c>
      <c r="E54" s="207">
        <f>IF(A54&lt;&gt;"",COUNTIF(デモトレ履歴!$R$2:$R$168,"&lt;"&amp;IF(A55&lt;&gt;"",A55,DATE(YEAR(A54),MONTH(A54),DAY(EOMONTH(A54,0)))))-SUM($E$46:$E53),0)</f>
        <v>0</v>
      </c>
      <c r="F54" s="207">
        <f>IF(A55&lt;&gt;"",COUNTIFS(デモトレ履歴!$M$2:$M$168,"win",デモトレ履歴!$R$2:$R$168,"&lt;"&amp;IF(A55&lt;&gt;"",A55,DATE(YEAR(A54),MONTH(A54),DAY(EOMONTH(A54,0)))))-SUM($F$46:$F53),0)</f>
        <v>0</v>
      </c>
      <c r="G54" s="207">
        <f>IF(A55&lt;&gt;"",COUNTIFS(デモトレ履歴!$M$2:$M$168,"loss",デモトレ履歴!$R$2:$R$168,"&lt;"&amp;IF(A55&lt;&gt;"",A55,DATE(YEAR(A54),MONTH(A54),DAY(EOMONTH(A54,0)))))-SUM($G$46:$G53),0)</f>
        <v>0</v>
      </c>
      <c r="H54" s="207">
        <f>COUNTIFS(デモトレ履歴!$M$2:$M$168,"drw",デモトレ履歴!$R$2:$R$168,"&lt;"&amp;IF(A55&lt;&gt;"",A55,DATE(YEAR(A54),MONTH(A54),DAY(EOMONTH(A54,0)))))-SUM($H$46:$H53)</f>
        <v>0</v>
      </c>
      <c r="I54" s="243">
        <f t="shared" si="14"/>
        <v>0</v>
      </c>
      <c r="J54" s="244">
        <f t="shared" si="9"/>
        <v>0</v>
      </c>
      <c r="K54" s="244">
        <f t="shared" si="10"/>
        <v>0</v>
      </c>
      <c r="L54" s="207">
        <f t="shared" si="15"/>
        <v>0</v>
      </c>
      <c r="M54" s="207">
        <f t="shared" si="11"/>
        <v>0</v>
      </c>
      <c r="N54" s="207">
        <f>IF(E54&gt;0,SUMIFS(デモトレ履歴!$P$2:$P$168,デモトレ履歴!$M$2:$M$168,"drw",デモトレ履歴!$R$2:$R$168,"&lt;"&amp;IF(A55&lt;&gt;"",A55,DATE(YEAR(A54),MONTH(A54),DAY(EOMONTH(A54,0)))))-SUM($C$46:$C53),0)</f>
        <v>0</v>
      </c>
      <c r="O54" s="244">
        <f t="shared" si="12"/>
        <v>808979</v>
      </c>
    </row>
    <row r="55" spans="1:15">
      <c r="A55" s="242">
        <f t="shared" si="13"/>
        <v>42491</v>
      </c>
      <c r="B55" s="207">
        <f>IF(E55&gt;0,SUMIFS(デモトレ履歴!$P$2:$P$168,デモトレ履歴!$M$2:$M$168,"win",デモトレ履歴!$R$2:$R175,"&lt;"&amp;IF(A56&lt;&gt;"",A56,DATE(YEAR(A55),MONTH(A55),DAY(EOMONTH(A55,0)))))-SUM($B$44:$B54),0)</f>
        <v>0</v>
      </c>
      <c r="C55" s="207">
        <f>IF(E55&gt;0,SUMIFS(デモトレ履歴!$P$2:$P$168,デモトレ履歴!$M$2:$M$168,"loss",デモトレ履歴!$R$2:$R$168,"&lt;"&amp;IF(A56&lt;&gt;"",A56,DATE(YEAR(A55),MONTH(A55),DAY(EOMONTH(A55,0)))))-SUM($C$46:$C54),0)</f>
        <v>0</v>
      </c>
      <c r="D55" s="207">
        <f t="shared" si="8"/>
        <v>0</v>
      </c>
      <c r="E55" s="207">
        <f>IF(A55&lt;&gt;"",COUNTIF(デモトレ履歴!$R$2:$R$168,"&lt;"&amp;IF(A56&lt;&gt;"",A56,DATE(YEAR(A55),MONTH(A55),DAY(EOMONTH(A55,0)))))-SUM($E$46:$E54),0)</f>
        <v>0</v>
      </c>
      <c r="F55" s="207">
        <f>IF(A56&lt;&gt;"",COUNTIFS(デモトレ履歴!$M$2:$M$168,"win",デモトレ履歴!$R$2:$R$168,"&lt;"&amp;IF(A56&lt;&gt;"",A56,DATE(YEAR(A55),MONTH(A55),DAY(EOMONTH(A55,0)))))-SUM($F$46:$F54),0)</f>
        <v>0</v>
      </c>
      <c r="G55" s="207">
        <f>IF(A56&lt;&gt;"",COUNTIFS(デモトレ履歴!$M$2:$M$168,"loss",デモトレ履歴!$R$2:$R$168,"&lt;"&amp;IF(A56&lt;&gt;"",A56,DATE(YEAR(A55),MONTH(A55),DAY(EOMONTH(A55,0)))))-SUM($G$46:$G54),0)</f>
        <v>0</v>
      </c>
      <c r="H55" s="207">
        <f>COUNTIFS(デモトレ履歴!$M$2:$M$168,"drw",デモトレ履歴!$R$2:$R$168,"&lt;"&amp;IF(A56&lt;&gt;"",A56,DATE(YEAR(A55),MONTH(A55),DAY(EOMONTH(A55,0)))))-SUM($H$46:$H54)</f>
        <v>0</v>
      </c>
      <c r="I55" s="243">
        <f t="shared" si="14"/>
        <v>0</v>
      </c>
      <c r="J55" s="244">
        <f t="shared" si="9"/>
        <v>0</v>
      </c>
      <c r="K55" s="244">
        <f t="shared" si="10"/>
        <v>0</v>
      </c>
      <c r="L55" s="207">
        <f t="shared" si="15"/>
        <v>0</v>
      </c>
      <c r="M55" s="207">
        <f t="shared" si="11"/>
        <v>0</v>
      </c>
      <c r="N55" s="207">
        <f>IF(E55&gt;0,SUMIFS(デモトレ履歴!$P$2:$P$168,デモトレ履歴!$M$2:$M$168,"drw",デモトレ履歴!$R$2:$R$168,"&lt;"&amp;IF(A56&lt;&gt;"",A56,DATE(YEAR(A55),MONTH(A55),DAY(EOMONTH(A55,0)))))-SUM($C$46:$C54),0)</f>
        <v>0</v>
      </c>
      <c r="O55" s="244">
        <f t="shared" si="12"/>
        <v>808979</v>
      </c>
    </row>
    <row r="56" spans="1:15">
      <c r="A56" s="242">
        <f t="shared" si="13"/>
        <v>42522</v>
      </c>
      <c r="B56" s="207">
        <f>IF(E56&gt;0,SUMIFS(デモトレ履歴!$P$2:$P$168,デモトレ履歴!$M$2:$M$168,"win",デモトレ履歴!$R$2:$R176,"&lt;"&amp;IF(A57&lt;&gt;"",A57,DATE(YEAR(A56),MONTH(A56),DAY(EOMONTH(A56,0)))))-SUM($B$44:$B55),0)</f>
        <v>0</v>
      </c>
      <c r="C56" s="207">
        <f>IF(E56&gt;0,SUMIFS(デモトレ履歴!$P$2:$P$168,デモトレ履歴!$M$2:$M$168,"loss",デモトレ履歴!$R$2:$R$168,"&lt;"&amp;IF(A57&lt;&gt;"",A57,DATE(YEAR(A56),MONTH(A56),DAY(EOMONTH(A56,0)))))-SUM($C$46:$C55),0)</f>
        <v>0</v>
      </c>
      <c r="D56" s="207">
        <f t="shared" si="8"/>
        <v>0</v>
      </c>
      <c r="E56" s="207">
        <f>IF(A56&lt;&gt;"",COUNTIF(デモトレ履歴!$R$2:$R$168,"&lt;"&amp;IF(A57&lt;&gt;"",A57,DATE(YEAR(A56),MONTH(A56),DAY(EOMONTH(A56,0)))))-SUM($E$46:$E55),0)</f>
        <v>0</v>
      </c>
      <c r="F56" s="207">
        <f>IF(A57&lt;&gt;"",COUNTIFS(デモトレ履歴!$M$2:$M$168,"win",デモトレ履歴!$R$2:$R$168,"&lt;"&amp;IF(A57&lt;&gt;"",A57,DATE(YEAR(A56),MONTH(A56),DAY(EOMONTH(A56,0)))))-SUM($F$46:$F55),0)</f>
        <v>0</v>
      </c>
      <c r="G56" s="207">
        <f>IF(A57&lt;&gt;"",COUNTIFS(デモトレ履歴!$M$2:$M$168,"loss",デモトレ履歴!$R$2:$R$168,"&lt;"&amp;IF(A57&lt;&gt;"",A57,DATE(YEAR(A56),MONTH(A56),DAY(EOMONTH(A56,0)))))-SUM($G$46:$G55),0)</f>
        <v>0</v>
      </c>
      <c r="H56" s="207">
        <f>COUNTIFS(デモトレ履歴!$M$2:$M$168,"drw",デモトレ履歴!$R$2:$R$168,"&lt;"&amp;IF(A57&lt;&gt;"",A57,DATE(YEAR(A56),MONTH(A56),DAY(EOMONTH(A56,0)))))-SUM($H$46:$H55)</f>
        <v>0</v>
      </c>
      <c r="I56" s="243">
        <f t="shared" si="14"/>
        <v>0</v>
      </c>
      <c r="J56" s="244">
        <f t="shared" si="9"/>
        <v>0</v>
      </c>
      <c r="K56" s="244">
        <f t="shared" si="10"/>
        <v>0</v>
      </c>
      <c r="L56" s="207">
        <f t="shared" si="15"/>
        <v>0</v>
      </c>
      <c r="M56" s="207">
        <f t="shared" si="11"/>
        <v>0</v>
      </c>
      <c r="N56" s="207">
        <f>IF(E56&gt;0,SUMIFS(デモトレ履歴!$P$2:$P$168,デモトレ履歴!$M$2:$M$168,"drw",デモトレ履歴!$R$2:$R$168,"&lt;"&amp;IF(A57&lt;&gt;"",A57,DATE(YEAR(A56),MONTH(A56),DAY(EOMONTH(A56,0)))))-SUM($C$46:$C55),0)</f>
        <v>0</v>
      </c>
      <c r="O56" s="244">
        <f t="shared" si="12"/>
        <v>808979</v>
      </c>
    </row>
    <row r="57" spans="1:15">
      <c r="A57" s="242">
        <f t="shared" si="13"/>
        <v>42552</v>
      </c>
      <c r="B57" s="207">
        <f>IF(E57&gt;0,SUMIFS(デモトレ履歴!$P$2:$P$168,デモトレ履歴!$M$2:$M$168,"win",デモトレ履歴!$R$2:$R177,"&lt;"&amp;IF(A58&lt;&gt;"",A58,DATE(YEAR(A57),MONTH(A57),DAY(EOMONTH(A57,0)))))-SUM($B$44:$B56),0)</f>
        <v>0</v>
      </c>
      <c r="C57" s="207">
        <f>IF(E57&gt;0,SUMIFS(デモトレ履歴!$P$2:$P$168,デモトレ履歴!$M$2:$M$168,"loss",デモトレ履歴!$R$2:$R$168,"&lt;"&amp;IF(A58&lt;&gt;"",A58,DATE(YEAR(A57),MONTH(A57),DAY(EOMONTH(A57,0)))))-SUM($C$46:$C56),0)</f>
        <v>0</v>
      </c>
      <c r="D57" s="207">
        <f t="shared" si="8"/>
        <v>0</v>
      </c>
      <c r="E57" s="207">
        <f>IF(A57&lt;&gt;"",COUNTIF(デモトレ履歴!$R$2:$R$168,"&lt;"&amp;IF(A58&lt;&gt;"",A58,DATE(YEAR(A57),MONTH(A57),DAY(EOMONTH(A57,0)))))-SUM($E$46:$E56),0)</f>
        <v>0</v>
      </c>
      <c r="F57" s="207">
        <f>IF(A58&lt;&gt;"",COUNTIFS(デモトレ履歴!$M$2:$M$168,"win",デモトレ履歴!$R$2:$R$168,"&lt;"&amp;IF(A58&lt;&gt;"",A58,DATE(YEAR(A57),MONTH(A57),DAY(EOMONTH(A57,0)))))-SUM($F$46:$F56),0)</f>
        <v>0</v>
      </c>
      <c r="G57" s="207">
        <f>IF(A58&lt;&gt;"",COUNTIFS(デモトレ履歴!$M$2:$M$168,"loss",デモトレ履歴!$R$2:$R$168,"&lt;"&amp;IF(A58&lt;&gt;"",A58,DATE(YEAR(A57),MONTH(A57),DAY(EOMONTH(A57,0)))))-SUM($G$46:$G56),0)</f>
        <v>0</v>
      </c>
      <c r="H57" s="207">
        <f>COUNTIFS(デモトレ履歴!$M$2:$M$168,"drw",デモトレ履歴!$R$2:$R$168,"&lt;"&amp;IF(A58&lt;&gt;"",A58,DATE(YEAR(A57),MONTH(A57),DAY(EOMONTH(A57,0)))))-SUM($H$46:$H56)</f>
        <v>0</v>
      </c>
      <c r="I57" s="243">
        <f t="shared" si="14"/>
        <v>0</v>
      </c>
      <c r="J57" s="244">
        <f t="shared" si="9"/>
        <v>0</v>
      </c>
      <c r="K57" s="244">
        <f t="shared" si="10"/>
        <v>0</v>
      </c>
      <c r="L57" s="207">
        <f t="shared" si="15"/>
        <v>0</v>
      </c>
      <c r="M57" s="207">
        <f t="shared" si="11"/>
        <v>0</v>
      </c>
      <c r="N57" s="207">
        <f>IF(E57&gt;0,SUMIFS(デモトレ履歴!$P$2:$P$168,デモトレ履歴!$M$2:$M$168,"drw",デモトレ履歴!$R$2:$R$168,"&lt;"&amp;IF(A58&lt;&gt;"",A58,DATE(YEAR(A57),MONTH(A57),DAY(EOMONTH(A57,0)))))-SUM($C$46:$C56),0)</f>
        <v>0</v>
      </c>
      <c r="O57" s="244">
        <f t="shared" si="12"/>
        <v>808979</v>
      </c>
    </row>
    <row r="58" spans="1:15">
      <c r="A58" s="242">
        <f t="shared" si="13"/>
        <v>42583</v>
      </c>
      <c r="B58" s="207">
        <f>IF(E58&gt;0,SUMIFS(デモトレ履歴!$P$2:$P$168,デモトレ履歴!$M$2:$M$168,"win",デモトレ履歴!$R$2:$R178,"&lt;"&amp;IF(A59&lt;&gt;"",A59,DATE(YEAR(A58),MONTH(A58),DAY(EOMONTH(A58,0)))))-SUM($B$44:$B57),0)</f>
        <v>0</v>
      </c>
      <c r="C58" s="207">
        <f>IF(E58&gt;0,SUMIFS(デモトレ履歴!$P$2:$P$168,デモトレ履歴!$M$2:$M$168,"loss",デモトレ履歴!$R$2:$R$168,"&lt;"&amp;IF(A59&lt;&gt;"",A59,DATE(YEAR(A58),MONTH(A58),DAY(EOMONTH(A58,0)))))-SUM($C$46:$C57),0)</f>
        <v>0</v>
      </c>
      <c r="D58" s="207">
        <f t="shared" si="8"/>
        <v>0</v>
      </c>
      <c r="E58" s="207">
        <f>IF(A58&lt;&gt;"",COUNTIF(デモトレ履歴!$R$2:$R$168,"&lt;"&amp;IF(A59&lt;&gt;"",A59,DATE(YEAR(A58),MONTH(A58),DAY(EOMONTH(A58,0)))))-SUM($E$46:$E57),0)</f>
        <v>0</v>
      </c>
      <c r="F58" s="207">
        <f>IF(A59&lt;&gt;"",COUNTIFS(デモトレ履歴!$M$2:$M$168,"win",デモトレ履歴!$R$2:$R$168,"&lt;"&amp;IF(A59&lt;&gt;"",A59,DATE(YEAR(A58),MONTH(A58),DAY(EOMONTH(A58,0)))))-SUM($F$46:$F57),0)</f>
        <v>0</v>
      </c>
      <c r="G58" s="207">
        <f>IF(A59&lt;&gt;"",COUNTIFS(デモトレ履歴!$M$2:$M$168,"loss",デモトレ履歴!$R$2:$R$168,"&lt;"&amp;IF(A59&lt;&gt;"",A59,DATE(YEAR(A58),MONTH(A58),DAY(EOMONTH(A58,0)))))-SUM($G$46:$G57),0)</f>
        <v>0</v>
      </c>
      <c r="H58" s="207">
        <f>COUNTIFS(デモトレ履歴!$M$2:$M$168,"drw",デモトレ履歴!$R$2:$R$168,"&lt;"&amp;IF(A59&lt;&gt;"",A59,DATE(YEAR(A58),MONTH(A58),DAY(EOMONTH(A58,0)))))-SUM($H$46:$H57)</f>
        <v>0</v>
      </c>
      <c r="I58" s="243">
        <f t="shared" si="14"/>
        <v>0</v>
      </c>
      <c r="J58" s="244">
        <f t="shared" si="9"/>
        <v>0</v>
      </c>
      <c r="K58" s="244">
        <f t="shared" si="10"/>
        <v>0</v>
      </c>
      <c r="L58" s="207">
        <f t="shared" si="15"/>
        <v>0</v>
      </c>
      <c r="M58" s="207">
        <f t="shared" si="11"/>
        <v>0</v>
      </c>
      <c r="N58" s="207">
        <f>IF(E58&gt;0,SUMIFS(デモトレ履歴!$P$2:$P$168,デモトレ履歴!$M$2:$M$168,"drw",デモトレ履歴!$R$2:$R$168,"&lt;"&amp;IF(A59&lt;&gt;"",A59,DATE(YEAR(A58),MONTH(A58),DAY(EOMONTH(A58,0)))))-SUM($C$46:$C57),0)</f>
        <v>0</v>
      </c>
      <c r="O58" s="244">
        <f t="shared" si="12"/>
        <v>808979</v>
      </c>
    </row>
    <row r="59" spans="1:15">
      <c r="A59" s="242">
        <f t="shared" si="13"/>
        <v>42614</v>
      </c>
      <c r="B59" s="207">
        <f>IF(E59&gt;0,SUMIFS(デモトレ履歴!$P$2:$P$168,デモトレ履歴!$M$2:$M$168,"win",デモトレ履歴!$R$2:$R179,"&lt;"&amp;IF(A60&lt;&gt;"",A60,DATE(YEAR(A59),MONTH(A59),DAY(EOMONTH(A59,0)))))-SUM($B$44:$B58),0)</f>
        <v>0</v>
      </c>
      <c r="C59" s="207">
        <f>IF(E59&gt;0,SUMIFS(デモトレ履歴!$P$2:$P$168,デモトレ履歴!$M$2:$M$168,"loss",デモトレ履歴!$R$2:$R$168,"&lt;"&amp;IF(A60&lt;&gt;"",A60,DATE(YEAR(A59),MONTH(A59),DAY(EOMONTH(A59,0)))))-SUM($C$46:$C58),0)</f>
        <v>0</v>
      </c>
      <c r="D59" s="207">
        <f t="shared" si="8"/>
        <v>0</v>
      </c>
      <c r="E59" s="207">
        <f>IF(A59&lt;&gt;"",COUNTIF(デモトレ履歴!$R$2:$R$168,"&lt;"&amp;IF(A60&lt;&gt;"",A60,DATE(YEAR(A59),MONTH(A59),DAY(EOMONTH(A59,0)))))-SUM($E$46:$E58),0)</f>
        <v>0</v>
      </c>
      <c r="F59" s="207">
        <f>IF(A60&lt;&gt;"",COUNTIFS(デモトレ履歴!$M$2:$M$168,"win",デモトレ履歴!$R$2:$R$168,"&lt;"&amp;IF(A60&lt;&gt;"",A60,DATE(YEAR(A59),MONTH(A59),DAY(EOMONTH(A59,0)))))-SUM($F$46:$F58),0)</f>
        <v>0</v>
      </c>
      <c r="G59" s="207">
        <f>IF(A60&lt;&gt;"",COUNTIFS(デモトレ履歴!$M$2:$M$168,"loss",デモトレ履歴!$R$2:$R$168,"&lt;"&amp;IF(A60&lt;&gt;"",A60,DATE(YEAR(A59),MONTH(A59),DAY(EOMONTH(A59,0)))))-SUM($G$46:$G58),0)</f>
        <v>0</v>
      </c>
      <c r="H59" s="207">
        <f>COUNTIFS(デモトレ履歴!$M$2:$M$168,"drw",デモトレ履歴!$R$2:$R$168,"&lt;"&amp;IF(A60&lt;&gt;"",A60,DATE(YEAR(A59),MONTH(A59),DAY(EOMONTH(A59,0)))))-SUM($H$46:$H58)</f>
        <v>0</v>
      </c>
      <c r="I59" s="243">
        <f t="shared" si="14"/>
        <v>0</v>
      </c>
      <c r="J59" s="244">
        <f t="shared" si="9"/>
        <v>0</v>
      </c>
      <c r="K59" s="244">
        <f t="shared" si="10"/>
        <v>0</v>
      </c>
      <c r="L59" s="207">
        <f t="shared" si="15"/>
        <v>0</v>
      </c>
      <c r="M59" s="207">
        <f t="shared" si="11"/>
        <v>0</v>
      </c>
      <c r="N59" s="207">
        <f>IF(E59&gt;0,SUMIFS(デモトレ履歴!$P$2:$P$168,デモトレ履歴!$M$2:$M$168,"drw",デモトレ履歴!$R$2:$R$168,"&lt;"&amp;IF(A60&lt;&gt;"",A60,DATE(YEAR(A59),MONTH(A59),DAY(EOMONTH(A59,0)))))-SUM($C$46:$C58),0)</f>
        <v>0</v>
      </c>
      <c r="O59" s="244">
        <f t="shared" si="12"/>
        <v>808979</v>
      </c>
    </row>
    <row r="60" spans="1:15">
      <c r="A60" s="242">
        <f t="shared" si="13"/>
        <v>42644</v>
      </c>
      <c r="B60" s="207">
        <f>IF(E60&gt;0,SUMIFS(デモトレ履歴!$P$2:$P$168,デモトレ履歴!$M$2:$M$168,"win",デモトレ履歴!$R$2:$R180,"&lt;"&amp;IF(A61&lt;&gt;"",A61,DATE(YEAR(A60),MONTH(A60),DAY(EOMONTH(A60,0)))))-SUM($B$44:$B59),0)</f>
        <v>0</v>
      </c>
      <c r="C60" s="207">
        <f>IF(E60&gt;0,SUMIFS(デモトレ履歴!$P$2:$P$168,デモトレ履歴!$M$2:$M$168,"loss",デモトレ履歴!$R$2:$R$168,"&lt;"&amp;IF(A61&lt;&gt;"",A61,DATE(YEAR(A60),MONTH(A60),DAY(EOMONTH(A60,0)))))-SUM($C$46:$C59),0)</f>
        <v>0</v>
      </c>
      <c r="D60" s="207">
        <f t="shared" si="8"/>
        <v>0</v>
      </c>
      <c r="E60" s="207">
        <f>IF(A60&lt;&gt;"",COUNTIF(デモトレ履歴!$R$2:$R$168,"&lt;"&amp;IF(A61&lt;&gt;"",A61,DATE(YEAR(A60),MONTH(A60),DAY(EOMONTH(A60,0)))))-SUM($E$46:$E59),0)</f>
        <v>0</v>
      </c>
      <c r="F60" s="207">
        <f>IF(A61&lt;&gt;"",COUNTIFS(デモトレ履歴!$M$2:$M$168,"win",デモトレ履歴!$R$2:$R$168,"&lt;"&amp;IF(A61&lt;&gt;"",A61,DATE(YEAR(A60),MONTH(A60),DAY(EOMONTH(A60,0)))))-SUM($F$46:$F59),0)</f>
        <v>0</v>
      </c>
      <c r="G60" s="207">
        <f>IF(A61&lt;&gt;"",COUNTIFS(デモトレ履歴!$M$2:$M$168,"loss",デモトレ履歴!$R$2:$R$168,"&lt;"&amp;IF(A61&lt;&gt;"",A61,DATE(YEAR(A60),MONTH(A60),DAY(EOMONTH(A60,0)))))-SUM($G$46:$G59),0)</f>
        <v>0</v>
      </c>
      <c r="H60" s="207">
        <f>COUNTIFS(デモトレ履歴!$M$2:$M$168,"drw",デモトレ履歴!$R$2:$R$168,"&lt;"&amp;IF(A61&lt;&gt;"",A61,DATE(YEAR(A60),MONTH(A60),DAY(EOMONTH(A60,0)))))-SUM($H$46:$H59)</f>
        <v>0</v>
      </c>
      <c r="I60" s="243">
        <f t="shared" si="14"/>
        <v>0</v>
      </c>
      <c r="J60" s="244">
        <f t="shared" si="9"/>
        <v>0</v>
      </c>
      <c r="K60" s="244">
        <f t="shared" si="10"/>
        <v>0</v>
      </c>
      <c r="L60" s="207">
        <f t="shared" si="15"/>
        <v>0</v>
      </c>
      <c r="M60" s="207">
        <f t="shared" si="11"/>
        <v>0</v>
      </c>
      <c r="N60" s="207">
        <f>IF(E60&gt;0,SUMIFS(デモトレ履歴!$P$2:$P$168,デモトレ履歴!$M$2:$M$168,"drw",デモトレ履歴!$R$2:$R$168,"&lt;"&amp;IF(A61&lt;&gt;"",A61,DATE(YEAR(A60),MONTH(A60),DAY(EOMONTH(A60,0)))))-SUM($C$46:$C59),0)</f>
        <v>0</v>
      </c>
      <c r="O60" s="244">
        <f t="shared" si="12"/>
        <v>808979</v>
      </c>
    </row>
    <row r="61" spans="1:15">
      <c r="A61" s="242">
        <f t="shared" si="13"/>
        <v>42675</v>
      </c>
      <c r="B61" s="207">
        <f>IF(E61&gt;0,SUMIFS(デモトレ履歴!$P$2:$P$168,デモトレ履歴!$M$2:$M$168,"win",デモトレ履歴!$R$2:$R181,"&lt;"&amp;IF(A62&lt;&gt;"",A62,DATE(YEAR(A61),MONTH(A61),DAY(EOMONTH(A61,0)))))-SUM($B$44:$B60),0)</f>
        <v>0</v>
      </c>
      <c r="C61" s="207">
        <f>IF(E61&gt;0,SUMIFS(デモトレ履歴!$P$2:$P$168,デモトレ履歴!$M$2:$M$168,"loss",デモトレ履歴!$R$2:$R$168,"&lt;"&amp;IF(A62&lt;&gt;"",A62,DATE(YEAR(A61),MONTH(A61),DAY(EOMONTH(A61,0)))))-SUM($C$46:$C60),0)</f>
        <v>0</v>
      </c>
      <c r="D61" s="207">
        <f t="shared" si="8"/>
        <v>0</v>
      </c>
      <c r="E61" s="207">
        <f>IF(A61&lt;&gt;"",COUNTIF(デモトレ履歴!$R$2:$R$168,"&lt;"&amp;IF(A62&lt;&gt;"",A62,DATE(YEAR(A61),MONTH(A61),DAY(EOMONTH(A61,0)))))-SUM($E$46:$E60),0)</f>
        <v>0</v>
      </c>
      <c r="F61" s="207">
        <f>IF(A62&lt;&gt;"",COUNTIFS(デモトレ履歴!$M$2:$M$168,"win",デモトレ履歴!$R$2:$R$168,"&lt;"&amp;IF(A62&lt;&gt;"",A62,DATE(YEAR(A61),MONTH(A61),DAY(EOMONTH(A61,0)))))-SUM($F$46:$F60),0)</f>
        <v>0</v>
      </c>
      <c r="G61" s="207">
        <f>IF(A62&lt;&gt;"",COUNTIFS(デモトレ履歴!$M$2:$M$168,"loss",デモトレ履歴!$R$2:$R$168,"&lt;"&amp;IF(A62&lt;&gt;"",A62,DATE(YEAR(A61),MONTH(A61),DAY(EOMONTH(A61,0)))))-SUM($G$46:$G60),0)</f>
        <v>0</v>
      </c>
      <c r="H61" s="207">
        <f>COUNTIFS(デモトレ履歴!$M$2:$M$168,"drw",デモトレ履歴!$R$2:$R$168,"&lt;"&amp;IF(A62&lt;&gt;"",A62,DATE(YEAR(A61),MONTH(A61),DAY(EOMONTH(A61,0)))))-SUM($H$46:$H60)</f>
        <v>0</v>
      </c>
      <c r="I61" s="243">
        <f t="shared" si="14"/>
        <v>0</v>
      </c>
      <c r="J61" s="244">
        <f t="shared" si="9"/>
        <v>0</v>
      </c>
      <c r="K61" s="244">
        <f t="shared" si="10"/>
        <v>0</v>
      </c>
      <c r="L61" s="207">
        <f t="shared" si="15"/>
        <v>0</v>
      </c>
      <c r="M61" s="207">
        <f t="shared" si="11"/>
        <v>0</v>
      </c>
      <c r="N61" s="207">
        <f>IF(E61&gt;0,SUMIFS(デモトレ履歴!$P$2:$P$168,デモトレ履歴!$M$2:$M$168,"drw",デモトレ履歴!$R$2:$R$168,"&lt;"&amp;IF(A62&lt;&gt;"",A62,DATE(YEAR(A61),MONTH(A61),DAY(EOMONTH(A61,0)))))-SUM($C$46:$C60),0)</f>
        <v>0</v>
      </c>
      <c r="O61" s="244">
        <f t="shared" si="12"/>
        <v>808979</v>
      </c>
    </row>
    <row r="62" spans="1:15">
      <c r="A62" s="242">
        <f t="shared" si="13"/>
        <v>42705</v>
      </c>
      <c r="B62" s="207">
        <f>IF(E62&gt;0,SUMIFS(デモトレ履歴!$P$2:$P$168,デモトレ履歴!$M$2:$M$168,"win",デモトレ履歴!$R$2:$R182,"&lt;"&amp;IF(A63&lt;&gt;"",A63,DATE(YEAR(A62),MONTH(A62),DAY(EOMONTH(A62,0)))))-SUM($B$44:$B61),0)</f>
        <v>0</v>
      </c>
      <c r="C62" s="207">
        <f>IF(E62&gt;0,SUMIFS(デモトレ履歴!$P$2:$P$168,デモトレ履歴!$M$2:$M$168,"loss",デモトレ履歴!$R$2:$R$168,"&lt;"&amp;IF(A63&lt;&gt;"",A63,DATE(YEAR(A62),MONTH(A62),DAY(EOMONTH(A62,0)))))-SUM($C$46:$C61),0)</f>
        <v>0</v>
      </c>
      <c r="D62" s="207">
        <f t="shared" si="8"/>
        <v>0</v>
      </c>
      <c r="E62" s="207">
        <f>IF(A62&lt;&gt;"",COUNTIF(デモトレ履歴!$R$2:$R$168,"&lt;"&amp;IF(A63&lt;&gt;"",A63,DATE(YEAR(A62),MONTH(A62),DAY(EOMONTH(A62,0)))))-SUM($E$46:$E61),0)</f>
        <v>0</v>
      </c>
      <c r="F62" s="207">
        <f>IF(A63&lt;&gt;"",COUNTIFS(デモトレ履歴!$M$2:$M$168,"win",デモトレ履歴!$R$2:$R$168,"&lt;"&amp;IF(A63&lt;&gt;"",A63,DATE(YEAR(A62),MONTH(A62),DAY(EOMONTH(A62,0)))))-SUM($F$46:$F61),0)</f>
        <v>0</v>
      </c>
      <c r="G62" s="207">
        <f>IF(A63&lt;&gt;"",COUNTIFS(デモトレ履歴!$M$2:$M$168,"loss",デモトレ履歴!$R$2:$R$168,"&lt;"&amp;IF(A63&lt;&gt;"",A63,DATE(YEAR(A62),MONTH(A62),DAY(EOMONTH(A62,0)))))-SUM($G$46:$G61),0)</f>
        <v>0</v>
      </c>
      <c r="H62" s="207">
        <f>COUNTIFS(デモトレ履歴!$M$2:$M$168,"drw",デモトレ履歴!$R$2:$R$168,"&lt;"&amp;IF(A63&lt;&gt;"",A63,DATE(YEAR(A62),MONTH(A62),DAY(EOMONTH(A62,0)))))-SUM($H$46:$H61)</f>
        <v>0</v>
      </c>
      <c r="I62" s="243">
        <f t="shared" si="14"/>
        <v>0</v>
      </c>
      <c r="J62" s="244">
        <f t="shared" si="9"/>
        <v>0</v>
      </c>
      <c r="K62" s="244">
        <f t="shared" si="10"/>
        <v>0</v>
      </c>
      <c r="L62" s="207">
        <f t="shared" si="15"/>
        <v>0</v>
      </c>
      <c r="M62" s="207">
        <f t="shared" si="11"/>
        <v>0</v>
      </c>
      <c r="N62" s="207">
        <f>IF(E62&gt;0,SUMIFS(デモトレ履歴!$P$2:$P$168,デモトレ履歴!$M$2:$M$168,"drw",デモトレ履歴!$R$2:$R$168,"&lt;"&amp;IF(A63&lt;&gt;"",A63,DATE(YEAR(A62),MONTH(A62),DAY(EOMONTH(A62,0)))))-SUM($C$46:$C61),0)</f>
        <v>0</v>
      </c>
      <c r="O62" s="244">
        <f t="shared" si="12"/>
        <v>808979</v>
      </c>
    </row>
    <row r="63" spans="1:15">
      <c r="A63" s="242">
        <f t="shared" si="13"/>
        <v>42736</v>
      </c>
      <c r="B63" s="207">
        <f>IF(E63&gt;0,SUMIFS(デモトレ履歴!$P$2:$P$168,デモトレ履歴!$M$2:$M$168,"win",デモトレ履歴!$R$2:$R183,"&lt;"&amp;IF(A64&lt;&gt;"",A64,DATE(YEAR(A63),MONTH(A63),DAY(EOMONTH(A63,0)))))-SUM($B$44:$B62),0)</f>
        <v>0</v>
      </c>
      <c r="C63" s="207">
        <f>IF(E63&gt;0,SUMIFS(デモトレ履歴!$P$2:$P$168,デモトレ履歴!$M$2:$M$168,"loss",デモトレ履歴!$R$2:$R$168,"&lt;"&amp;IF(A64&lt;&gt;"",A64,DATE(YEAR(A63),MONTH(A63),DAY(EOMONTH(A63,0)))))-SUM($C$46:$C62),0)</f>
        <v>0</v>
      </c>
      <c r="D63" s="207">
        <f t="shared" si="8"/>
        <v>0</v>
      </c>
      <c r="E63" s="207">
        <f>IF(A63&lt;&gt;"",COUNTIF(デモトレ履歴!$R$2:$R$168,"&lt;"&amp;IF(A64&lt;&gt;"",A64,DATE(YEAR(A63),MONTH(A63),DAY(EOMONTH(A63,0)))))-SUM($E$46:$E62),0)</f>
        <v>0</v>
      </c>
      <c r="F63" s="207">
        <f>IF(A64&lt;&gt;"",COUNTIFS(デモトレ履歴!$M$2:$M$168,"win",デモトレ履歴!$R$2:$R$168,"&lt;"&amp;IF(A64&lt;&gt;"",A64,DATE(YEAR(A63),MONTH(A63),DAY(EOMONTH(A63,0)))))-SUM($F$46:$F62),0)</f>
        <v>0</v>
      </c>
      <c r="G63" s="207">
        <f>IF(A64&lt;&gt;"",COUNTIFS(デモトレ履歴!$M$2:$M$168,"loss",デモトレ履歴!$R$2:$R$168,"&lt;"&amp;IF(A64&lt;&gt;"",A64,DATE(YEAR(A63),MONTH(A63),DAY(EOMONTH(A63,0)))))-SUM($G$46:$G62),0)</f>
        <v>0</v>
      </c>
      <c r="H63" s="207">
        <f>COUNTIFS(デモトレ履歴!$M$2:$M$168,"drw",デモトレ履歴!$R$2:$R$168,"&lt;"&amp;IF(A64&lt;&gt;"",A64,DATE(YEAR(A63),MONTH(A63),DAY(EOMONTH(A63,0)))))-SUM($H$46:$H62)</f>
        <v>0</v>
      </c>
      <c r="I63" s="243">
        <f t="shared" si="14"/>
        <v>0</v>
      </c>
      <c r="J63" s="244">
        <f t="shared" si="9"/>
        <v>0</v>
      </c>
      <c r="K63" s="244">
        <f t="shared" si="10"/>
        <v>0</v>
      </c>
      <c r="L63" s="207">
        <f t="shared" si="15"/>
        <v>0</v>
      </c>
      <c r="M63" s="207">
        <f t="shared" si="11"/>
        <v>0</v>
      </c>
      <c r="N63" s="207">
        <f>IF(E63&gt;0,SUMIFS(デモトレ履歴!$P$2:$P$168,デモトレ履歴!$M$2:$M$168,"drw",デモトレ履歴!$R$2:$R$168,"&lt;"&amp;IF(A64&lt;&gt;"",A64,DATE(YEAR(A63),MONTH(A63),DAY(EOMONTH(A63,0)))))-SUM($C$46:$C62),0)</f>
        <v>0</v>
      </c>
      <c r="O63" s="244">
        <f t="shared" si="12"/>
        <v>808979</v>
      </c>
    </row>
    <row r="64" spans="1:15">
      <c r="A64" s="242"/>
      <c r="B64" s="207"/>
      <c r="C64" s="207"/>
      <c r="D64" s="207"/>
      <c r="E64" s="207"/>
      <c r="F64" s="207"/>
      <c r="G64" s="207"/>
      <c r="H64" s="207"/>
      <c r="I64" s="243"/>
      <c r="J64" s="207"/>
      <c r="K64" s="207"/>
      <c r="L64" s="207"/>
      <c r="M64" s="207"/>
      <c r="N64" s="244"/>
    </row>
    <row r="65" spans="1:14">
      <c r="A65" s="242"/>
      <c r="B65" s="207"/>
      <c r="C65" s="207"/>
      <c r="D65" s="207"/>
      <c r="E65" s="207"/>
      <c r="F65" s="207"/>
      <c r="G65" s="207"/>
      <c r="H65" s="207"/>
      <c r="I65" s="243"/>
      <c r="J65" s="207"/>
      <c r="K65" s="207"/>
      <c r="L65" s="207"/>
      <c r="M65" s="207"/>
      <c r="N65" s="244"/>
    </row>
    <row r="66" spans="1:14">
      <c r="A66" s="242"/>
      <c r="B66" s="207"/>
      <c r="C66" s="207"/>
      <c r="D66" s="207"/>
      <c r="E66" s="207"/>
      <c r="F66" s="207"/>
      <c r="G66" s="207"/>
      <c r="H66" s="207"/>
      <c r="I66" s="243"/>
      <c r="J66" s="207"/>
      <c r="K66" s="207"/>
      <c r="L66" s="207"/>
      <c r="M66" s="207"/>
      <c r="N66" s="244"/>
    </row>
    <row r="67" spans="1:14">
      <c r="A67" s="242"/>
      <c r="B67" s="207"/>
      <c r="C67" s="207"/>
      <c r="D67" s="207"/>
      <c r="E67" s="207"/>
      <c r="F67" s="207"/>
      <c r="G67" s="207"/>
      <c r="H67" s="207"/>
      <c r="I67" s="243"/>
      <c r="J67" s="207"/>
      <c r="K67" s="207"/>
      <c r="L67" s="207"/>
      <c r="M67" s="207"/>
      <c r="N67" s="244"/>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dimension ref="A1"/>
  <sheetViews>
    <sheetView topLeftCell="A165" zoomScale="97" zoomScaleSheetLayoutView="100" workbookViewId="0">
      <selection activeCell="A32" sqref="A32"/>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Sheet7"/>
  <dimension ref="A1:Q148"/>
  <sheetViews>
    <sheetView zoomScaleSheetLayoutView="100" workbookViewId="0">
      <pane ySplit="1" topLeftCell="A2" activePane="bottomLeft" state="frozen"/>
      <selection activeCell="K25" sqref="K25"/>
      <selection pane="bottomLeft" activeCell="N131" sqref="N131"/>
    </sheetView>
  </sheetViews>
  <sheetFormatPr defaultColWidth="10" defaultRowHeight="13.5" customHeight="1"/>
  <cols>
    <col min="1" max="1" width="4.375" customWidth="1"/>
    <col min="2" max="2" width="9" customWidth="1"/>
    <col min="3" max="3" width="6.125" customWidth="1"/>
    <col min="4" max="4" width="8.5" customWidth="1"/>
    <col min="5" max="5" width="12.25" customWidth="1"/>
    <col min="6" max="6" width="3.125" customWidth="1"/>
    <col min="7" max="7" width="12.75" style="65" customWidth="1"/>
    <col min="8" max="8" width="13.5" customWidth="1"/>
    <col min="9" max="9" width="3.375" customWidth="1"/>
    <col min="10" max="10" width="14.125" style="66" customWidth="1"/>
    <col min="12" max="12" width="12.375" customWidth="1"/>
    <col min="13" max="13" width="7.25" customWidth="1"/>
    <col min="14" max="14" width="8.125" style="71" customWidth="1"/>
    <col min="15" max="15" width="9.625" style="71" customWidth="1"/>
    <col min="16" max="16" width="10.5" customWidth="1"/>
    <col min="17" max="17" width="10.375" customWidth="1"/>
  </cols>
  <sheetData>
    <row r="1" spans="1:17" ht="14.25" thickBot="1">
      <c r="A1" s="17" t="s">
        <v>68</v>
      </c>
      <c r="B1" s="157" t="s">
        <v>69</v>
      </c>
      <c r="C1" s="19" t="s">
        <v>70</v>
      </c>
      <c r="D1" s="19" t="s">
        <v>71</v>
      </c>
      <c r="E1" s="19" t="s">
        <v>72</v>
      </c>
      <c r="F1" s="19" t="s">
        <v>73</v>
      </c>
      <c r="G1" s="21" t="s">
        <v>74</v>
      </c>
      <c r="H1" s="19" t="s">
        <v>75</v>
      </c>
      <c r="I1" s="19" t="s">
        <v>76</v>
      </c>
      <c r="J1" s="21" t="s">
        <v>77</v>
      </c>
      <c r="K1" s="19" t="s">
        <v>78</v>
      </c>
      <c r="L1" s="19" t="s">
        <v>79</v>
      </c>
      <c r="M1" s="19" t="s">
        <v>80</v>
      </c>
      <c r="N1" s="158" t="s">
        <v>81</v>
      </c>
      <c r="O1" s="159" t="s">
        <v>82</v>
      </c>
      <c r="P1" s="24" t="s">
        <v>83</v>
      </c>
    </row>
    <row r="2" spans="1:17" ht="13.5" customHeight="1">
      <c r="A2">
        <v>1</v>
      </c>
      <c r="B2" t="s">
        <v>325</v>
      </c>
      <c r="E2" t="s">
        <v>140</v>
      </c>
      <c r="F2" t="s">
        <v>326</v>
      </c>
      <c r="I2" t="s">
        <v>327</v>
      </c>
      <c r="P2">
        <f t="shared" ref="P2:P21" si="0">D2*SUM(N2,O2)</f>
        <v>0</v>
      </c>
      <c r="Q2">
        <f t="shared" ref="Q2:Q21" si="1">H2-SUM(K2)</f>
        <v>0</v>
      </c>
    </row>
    <row r="3" spans="1:17">
      <c r="A3">
        <v>2</v>
      </c>
      <c r="B3" s="160"/>
      <c r="O3" s="161"/>
      <c r="P3">
        <f t="shared" si="0"/>
        <v>0</v>
      </c>
      <c r="Q3" s="162">
        <f t="shared" si="1"/>
        <v>0</v>
      </c>
    </row>
    <row r="4" spans="1:17">
      <c r="A4">
        <v>3</v>
      </c>
      <c r="O4" s="161"/>
      <c r="P4">
        <f t="shared" si="0"/>
        <v>0</v>
      </c>
      <c r="Q4" s="162">
        <f t="shared" si="1"/>
        <v>0</v>
      </c>
    </row>
    <row r="5" spans="1:17">
      <c r="A5">
        <v>4</v>
      </c>
      <c r="O5" s="161"/>
      <c r="P5">
        <f t="shared" si="0"/>
        <v>0</v>
      </c>
      <c r="Q5" s="162">
        <f t="shared" si="1"/>
        <v>0</v>
      </c>
    </row>
    <row r="6" spans="1:17">
      <c r="A6">
        <v>5</v>
      </c>
      <c r="O6" s="163"/>
      <c r="P6">
        <f t="shared" si="0"/>
        <v>0</v>
      </c>
      <c r="Q6" s="162">
        <f t="shared" si="1"/>
        <v>0</v>
      </c>
    </row>
    <row r="7" spans="1:17">
      <c r="A7">
        <v>6</v>
      </c>
      <c r="O7" s="161"/>
      <c r="P7">
        <f t="shared" si="0"/>
        <v>0</v>
      </c>
      <c r="Q7" s="162">
        <f t="shared" si="1"/>
        <v>0</v>
      </c>
    </row>
    <row r="8" spans="1:17">
      <c r="A8">
        <v>7</v>
      </c>
      <c r="O8" s="161"/>
      <c r="P8">
        <f t="shared" si="0"/>
        <v>0</v>
      </c>
      <c r="Q8" s="162">
        <f t="shared" si="1"/>
        <v>0</v>
      </c>
    </row>
    <row r="9" spans="1:17">
      <c r="A9">
        <v>8</v>
      </c>
      <c r="O9" s="161"/>
      <c r="P9">
        <f t="shared" si="0"/>
        <v>0</v>
      </c>
      <c r="Q9" s="162">
        <f t="shared" si="1"/>
        <v>0</v>
      </c>
    </row>
    <row r="10" spans="1:17">
      <c r="A10" s="3">
        <v>9</v>
      </c>
      <c r="B10" s="160"/>
      <c r="O10" s="161"/>
      <c r="P10">
        <f t="shared" si="0"/>
        <v>0</v>
      </c>
      <c r="Q10" s="162">
        <f t="shared" si="1"/>
        <v>0</v>
      </c>
    </row>
    <row r="11" spans="1:17">
      <c r="A11">
        <v>10</v>
      </c>
      <c r="O11" s="161"/>
      <c r="P11">
        <f t="shared" si="0"/>
        <v>0</v>
      </c>
      <c r="Q11" s="162">
        <f t="shared" si="1"/>
        <v>0</v>
      </c>
    </row>
    <row r="12" spans="1:17">
      <c r="A12">
        <v>11</v>
      </c>
      <c r="O12" s="161"/>
      <c r="P12">
        <f t="shared" si="0"/>
        <v>0</v>
      </c>
      <c r="Q12" s="162">
        <f t="shared" si="1"/>
        <v>0</v>
      </c>
    </row>
    <row r="13" spans="1:17">
      <c r="A13">
        <v>12</v>
      </c>
      <c r="O13" s="161"/>
      <c r="P13">
        <f t="shared" si="0"/>
        <v>0</v>
      </c>
      <c r="Q13" s="162">
        <f t="shared" si="1"/>
        <v>0</v>
      </c>
    </row>
    <row r="14" spans="1:17">
      <c r="A14">
        <v>13</v>
      </c>
      <c r="O14" s="161"/>
      <c r="P14">
        <f t="shared" si="0"/>
        <v>0</v>
      </c>
      <c r="Q14" s="162">
        <f t="shared" si="1"/>
        <v>0</v>
      </c>
    </row>
    <row r="15" spans="1:17">
      <c r="A15">
        <v>14</v>
      </c>
      <c r="O15" s="161"/>
      <c r="P15">
        <f t="shared" si="0"/>
        <v>0</v>
      </c>
      <c r="Q15" s="162">
        <f t="shared" si="1"/>
        <v>0</v>
      </c>
    </row>
    <row r="16" spans="1:17">
      <c r="A16">
        <v>15</v>
      </c>
      <c r="O16" s="161"/>
      <c r="P16">
        <f t="shared" si="0"/>
        <v>0</v>
      </c>
      <c r="Q16" s="162">
        <f t="shared" si="1"/>
        <v>0</v>
      </c>
    </row>
    <row r="17" spans="1:17">
      <c r="A17">
        <v>16</v>
      </c>
      <c r="B17" s="160"/>
      <c r="O17" s="161"/>
      <c r="P17">
        <f t="shared" si="0"/>
        <v>0</v>
      </c>
      <c r="Q17" s="162">
        <f t="shared" si="1"/>
        <v>0</v>
      </c>
    </row>
    <row r="18" spans="1:17">
      <c r="A18">
        <v>17</v>
      </c>
      <c r="O18" s="161"/>
      <c r="P18">
        <f t="shared" si="0"/>
        <v>0</v>
      </c>
      <c r="Q18" s="162">
        <f t="shared" si="1"/>
        <v>0</v>
      </c>
    </row>
    <row r="19" spans="1:17">
      <c r="A19">
        <v>18</v>
      </c>
      <c r="O19" s="161"/>
      <c r="P19">
        <f t="shared" si="0"/>
        <v>0</v>
      </c>
      <c r="Q19" s="162">
        <f t="shared" si="1"/>
        <v>0</v>
      </c>
    </row>
    <row r="20" spans="1:17">
      <c r="A20">
        <v>19</v>
      </c>
      <c r="B20" s="3"/>
      <c r="O20" s="161"/>
      <c r="P20">
        <f t="shared" si="0"/>
        <v>0</v>
      </c>
      <c r="Q20" s="162">
        <f t="shared" si="1"/>
        <v>0</v>
      </c>
    </row>
    <row r="21" spans="1:17">
      <c r="A21" s="79">
        <v>20</v>
      </c>
      <c r="B21" s="164"/>
      <c r="C21" s="79"/>
      <c r="D21" s="79"/>
      <c r="E21" s="79"/>
      <c r="F21" s="79"/>
      <c r="G21" s="81"/>
      <c r="H21" s="79"/>
      <c r="I21" s="79"/>
      <c r="J21" s="82"/>
      <c r="K21" s="79"/>
      <c r="L21" s="79"/>
      <c r="M21" s="79"/>
      <c r="N21" s="85"/>
      <c r="O21" s="165"/>
      <c r="P21" s="79">
        <f t="shared" si="0"/>
        <v>0</v>
      </c>
      <c r="Q21" s="166">
        <f t="shared" si="1"/>
        <v>0</v>
      </c>
    </row>
    <row r="22" spans="1:17">
      <c r="B22" s="3"/>
      <c r="M22" s="64"/>
      <c r="N22" s="71">
        <f>SUM(N2:N21)</f>
        <v>0</v>
      </c>
      <c r="O22" s="167">
        <f>SUM(O2:O21)</f>
        <v>0</v>
      </c>
      <c r="P22">
        <f>SUM(P2:P21)</f>
        <v>0</v>
      </c>
      <c r="Q22" s="162"/>
    </row>
    <row r="23" spans="1:17">
      <c r="B23" s="3" t="s">
        <v>328</v>
      </c>
      <c r="O23" s="167"/>
      <c r="Q23" s="162"/>
    </row>
    <row r="24" spans="1:17">
      <c r="A24" s="79"/>
      <c r="B24" s="164"/>
      <c r="C24" s="79"/>
      <c r="D24" s="79"/>
      <c r="E24" s="79"/>
      <c r="F24" s="79"/>
      <c r="G24" s="81"/>
      <c r="H24" s="79"/>
      <c r="I24" s="79"/>
      <c r="J24" s="82"/>
      <c r="K24" s="79"/>
      <c r="L24" s="79"/>
      <c r="M24" s="79"/>
      <c r="N24" s="85"/>
      <c r="O24" s="165"/>
      <c r="P24" s="79"/>
      <c r="Q24" s="162"/>
    </row>
    <row r="25" spans="1:17">
      <c r="A25">
        <v>21</v>
      </c>
      <c r="B25" s="168"/>
      <c r="M25" s="64"/>
      <c r="O25" s="161"/>
      <c r="P25">
        <f t="shared" ref="P25:P44" si="2">D25*SUM(N25,O25)</f>
        <v>0</v>
      </c>
      <c r="Q25" s="162">
        <f t="shared" ref="Q25:Q44" si="3">H25-SUM(K25)</f>
        <v>0</v>
      </c>
    </row>
    <row r="26" spans="1:17">
      <c r="A26">
        <v>22</v>
      </c>
      <c r="B26" s="3"/>
      <c r="M26" s="64"/>
      <c r="O26" s="161"/>
      <c r="P26">
        <f t="shared" si="2"/>
        <v>0</v>
      </c>
      <c r="Q26" s="162">
        <f t="shared" si="3"/>
        <v>0</v>
      </c>
    </row>
    <row r="27" spans="1:17">
      <c r="A27">
        <v>23</v>
      </c>
      <c r="B27" s="3"/>
      <c r="M27" s="64"/>
      <c r="O27" s="161"/>
      <c r="P27">
        <f t="shared" si="2"/>
        <v>0</v>
      </c>
      <c r="Q27" s="162">
        <f t="shared" si="3"/>
        <v>0</v>
      </c>
    </row>
    <row r="28" spans="1:17">
      <c r="A28">
        <v>24</v>
      </c>
      <c r="B28" s="3"/>
      <c r="M28" s="64"/>
      <c r="O28" s="161"/>
      <c r="P28">
        <f t="shared" si="2"/>
        <v>0</v>
      </c>
      <c r="Q28" s="162">
        <f t="shared" si="3"/>
        <v>0</v>
      </c>
    </row>
    <row r="29" spans="1:17">
      <c r="A29">
        <v>25</v>
      </c>
      <c r="B29" s="3"/>
      <c r="M29" s="64"/>
      <c r="O29" s="161"/>
      <c r="P29">
        <f t="shared" si="2"/>
        <v>0</v>
      </c>
      <c r="Q29" s="162">
        <f t="shared" si="3"/>
        <v>0</v>
      </c>
    </row>
    <row r="30" spans="1:17">
      <c r="A30">
        <v>26</v>
      </c>
      <c r="B30" s="3"/>
      <c r="M30" s="64"/>
      <c r="O30" s="161"/>
      <c r="P30">
        <f t="shared" si="2"/>
        <v>0</v>
      </c>
      <c r="Q30" s="162">
        <f t="shared" si="3"/>
        <v>0</v>
      </c>
    </row>
    <row r="31" spans="1:17">
      <c r="A31">
        <v>27</v>
      </c>
      <c r="B31" s="3"/>
      <c r="M31" s="64"/>
      <c r="O31" s="161"/>
      <c r="P31">
        <f t="shared" si="2"/>
        <v>0</v>
      </c>
      <c r="Q31" s="162">
        <f t="shared" si="3"/>
        <v>0</v>
      </c>
    </row>
    <row r="32" spans="1:17">
      <c r="A32">
        <v>28</v>
      </c>
      <c r="B32" s="168"/>
      <c r="M32" s="64"/>
      <c r="O32" s="161"/>
      <c r="P32">
        <f t="shared" si="2"/>
        <v>0</v>
      </c>
      <c r="Q32" s="162">
        <f t="shared" si="3"/>
        <v>0</v>
      </c>
    </row>
    <row r="33" spans="1:17">
      <c r="A33">
        <v>29</v>
      </c>
      <c r="B33" s="3"/>
      <c r="G33" s="71"/>
      <c r="M33" s="64"/>
      <c r="O33" s="161"/>
      <c r="P33">
        <f t="shared" si="2"/>
        <v>0</v>
      </c>
      <c r="Q33" s="162">
        <f t="shared" si="3"/>
        <v>0</v>
      </c>
    </row>
    <row r="34" spans="1:17">
      <c r="A34">
        <v>30</v>
      </c>
      <c r="G34" s="169"/>
      <c r="M34" s="64"/>
      <c r="O34" s="161"/>
      <c r="P34">
        <f t="shared" si="2"/>
        <v>0</v>
      </c>
      <c r="Q34" s="162">
        <f t="shared" si="3"/>
        <v>0</v>
      </c>
    </row>
    <row r="35" spans="1:17">
      <c r="A35">
        <v>31</v>
      </c>
      <c r="M35" s="64"/>
      <c r="O35" s="161"/>
      <c r="P35">
        <f t="shared" si="2"/>
        <v>0</v>
      </c>
      <c r="Q35" s="162">
        <f t="shared" si="3"/>
        <v>0</v>
      </c>
    </row>
    <row r="36" spans="1:17">
      <c r="A36">
        <v>32</v>
      </c>
      <c r="M36" s="64"/>
      <c r="O36" s="161"/>
      <c r="P36">
        <f t="shared" si="2"/>
        <v>0</v>
      </c>
      <c r="Q36" s="162">
        <f t="shared" si="3"/>
        <v>0</v>
      </c>
    </row>
    <row r="37" spans="1:17">
      <c r="A37">
        <v>33</v>
      </c>
      <c r="M37" s="64"/>
      <c r="O37" s="161"/>
      <c r="P37">
        <f t="shared" si="2"/>
        <v>0</v>
      </c>
      <c r="Q37" s="162">
        <f t="shared" si="3"/>
        <v>0</v>
      </c>
    </row>
    <row r="38" spans="1:17">
      <c r="A38">
        <v>34</v>
      </c>
      <c r="M38" s="64"/>
      <c r="O38" s="161"/>
      <c r="P38">
        <f t="shared" si="2"/>
        <v>0</v>
      </c>
      <c r="Q38" s="162">
        <f t="shared" si="3"/>
        <v>0</v>
      </c>
    </row>
    <row r="39" spans="1:17">
      <c r="A39">
        <v>35</v>
      </c>
      <c r="M39" s="64"/>
      <c r="O39" s="161"/>
      <c r="P39">
        <f t="shared" si="2"/>
        <v>0</v>
      </c>
      <c r="Q39" s="162">
        <f t="shared" si="3"/>
        <v>0</v>
      </c>
    </row>
    <row r="40" spans="1:17">
      <c r="A40">
        <v>36</v>
      </c>
      <c r="M40" s="64"/>
      <c r="O40" s="161"/>
      <c r="P40">
        <f t="shared" si="2"/>
        <v>0</v>
      </c>
      <c r="Q40" s="162">
        <f t="shared" si="3"/>
        <v>0</v>
      </c>
    </row>
    <row r="41" spans="1:17">
      <c r="A41">
        <v>37</v>
      </c>
      <c r="M41" s="64"/>
      <c r="O41" s="161"/>
      <c r="P41">
        <f t="shared" si="2"/>
        <v>0</v>
      </c>
      <c r="Q41" s="162">
        <f t="shared" si="3"/>
        <v>0</v>
      </c>
    </row>
    <row r="42" spans="1:17">
      <c r="A42">
        <v>38</v>
      </c>
      <c r="M42" s="64"/>
      <c r="O42" s="161"/>
      <c r="P42">
        <f t="shared" si="2"/>
        <v>0</v>
      </c>
      <c r="Q42" s="162">
        <f t="shared" si="3"/>
        <v>0</v>
      </c>
    </row>
    <row r="43" spans="1:17">
      <c r="A43" s="76">
        <v>39</v>
      </c>
      <c r="B43" s="76"/>
      <c r="C43" s="76"/>
      <c r="D43" s="76"/>
      <c r="E43" s="76"/>
      <c r="F43" s="76"/>
      <c r="G43" s="77"/>
      <c r="H43" s="76"/>
      <c r="I43" s="76"/>
      <c r="J43" s="78"/>
      <c r="K43" s="76"/>
      <c r="L43" s="76"/>
      <c r="M43" s="64"/>
      <c r="N43" s="170"/>
      <c r="O43" s="161"/>
      <c r="P43">
        <f t="shared" si="2"/>
        <v>0</v>
      </c>
      <c r="Q43" s="162">
        <f t="shared" si="3"/>
        <v>0</v>
      </c>
    </row>
    <row r="44" spans="1:17">
      <c r="A44" s="79">
        <v>40</v>
      </c>
      <c r="B44" s="79"/>
      <c r="C44" s="79"/>
      <c r="D44" s="79"/>
      <c r="E44" s="79"/>
      <c r="F44" s="79"/>
      <c r="G44" s="81"/>
      <c r="H44" s="79"/>
      <c r="I44" s="79"/>
      <c r="J44" s="82"/>
      <c r="K44" s="79"/>
      <c r="L44" s="79"/>
      <c r="M44" s="79"/>
      <c r="N44" s="85"/>
      <c r="O44" s="165"/>
      <c r="P44" s="79">
        <f t="shared" si="2"/>
        <v>0</v>
      </c>
      <c r="Q44" s="166">
        <f t="shared" si="3"/>
        <v>0</v>
      </c>
    </row>
    <row r="45" spans="1:17">
      <c r="N45" s="71">
        <f>SUM(N25:N44)</f>
        <v>0</v>
      </c>
      <c r="O45" s="161">
        <f>SUM(O25:O44)</f>
        <v>0</v>
      </c>
      <c r="P45">
        <f>SUM(P25:P44)</f>
        <v>0</v>
      </c>
      <c r="Q45" s="162"/>
    </row>
    <row r="46" spans="1:17">
      <c r="O46" s="161"/>
      <c r="Q46" s="162"/>
    </row>
    <row r="47" spans="1:17">
      <c r="A47" s="79"/>
      <c r="B47" s="79"/>
      <c r="C47" s="79"/>
      <c r="D47" s="79"/>
      <c r="E47" s="79"/>
      <c r="F47" s="79"/>
      <c r="G47" s="81"/>
      <c r="H47" s="79"/>
      <c r="I47" s="79"/>
      <c r="J47" s="82"/>
      <c r="K47" s="79"/>
      <c r="L47" s="79"/>
      <c r="M47" s="79"/>
      <c r="N47" s="85"/>
      <c r="O47" s="165"/>
      <c r="P47" s="79"/>
      <c r="Q47" s="162"/>
    </row>
    <row r="48" spans="1:17">
      <c r="A48">
        <v>41</v>
      </c>
      <c r="M48" s="64"/>
      <c r="O48" s="161"/>
      <c r="P48">
        <f t="shared" ref="P48:P67" si="4">D48*SUM(N48,O48)</f>
        <v>0</v>
      </c>
      <c r="Q48" s="162">
        <f t="shared" ref="Q48:Q67" si="5">H48-SUM(K48)</f>
        <v>0</v>
      </c>
    </row>
    <row r="49" spans="1:17">
      <c r="A49">
        <v>42</v>
      </c>
      <c r="M49" s="64"/>
      <c r="O49" s="161"/>
      <c r="P49">
        <f t="shared" si="4"/>
        <v>0</v>
      </c>
      <c r="Q49" s="162">
        <f t="shared" si="5"/>
        <v>0</v>
      </c>
    </row>
    <row r="50" spans="1:17">
      <c r="A50">
        <v>43</v>
      </c>
      <c r="M50" s="64"/>
      <c r="O50" s="161"/>
      <c r="P50">
        <f t="shared" si="4"/>
        <v>0</v>
      </c>
      <c r="Q50" s="162">
        <f t="shared" si="5"/>
        <v>0</v>
      </c>
    </row>
    <row r="51" spans="1:17">
      <c r="A51">
        <v>44</v>
      </c>
      <c r="M51" s="64"/>
      <c r="O51" s="161"/>
      <c r="P51">
        <f t="shared" si="4"/>
        <v>0</v>
      </c>
      <c r="Q51" s="162">
        <f t="shared" si="5"/>
        <v>0</v>
      </c>
    </row>
    <row r="52" spans="1:17">
      <c r="A52">
        <v>45</v>
      </c>
      <c r="M52" s="64"/>
      <c r="O52" s="161"/>
      <c r="P52">
        <f t="shared" si="4"/>
        <v>0</v>
      </c>
      <c r="Q52" s="162">
        <f t="shared" si="5"/>
        <v>0</v>
      </c>
    </row>
    <row r="53" spans="1:17">
      <c r="A53">
        <v>46</v>
      </c>
      <c r="M53" s="64"/>
      <c r="O53" s="161"/>
      <c r="P53">
        <f t="shared" si="4"/>
        <v>0</v>
      </c>
      <c r="Q53" s="162">
        <f t="shared" si="5"/>
        <v>0</v>
      </c>
    </row>
    <row r="54" spans="1:17">
      <c r="A54">
        <v>47</v>
      </c>
      <c r="M54" s="64"/>
      <c r="O54" s="161"/>
      <c r="P54">
        <f t="shared" si="4"/>
        <v>0</v>
      </c>
      <c r="Q54" s="162">
        <f t="shared" si="5"/>
        <v>0</v>
      </c>
    </row>
    <row r="55" spans="1:17">
      <c r="A55">
        <v>48</v>
      </c>
      <c r="M55" s="64"/>
      <c r="O55" s="161"/>
      <c r="P55">
        <f t="shared" si="4"/>
        <v>0</v>
      </c>
      <c r="Q55" s="162">
        <f t="shared" si="5"/>
        <v>0</v>
      </c>
    </row>
    <row r="56" spans="1:17">
      <c r="A56">
        <v>49</v>
      </c>
      <c r="M56" s="64"/>
      <c r="O56" s="161"/>
      <c r="P56">
        <f t="shared" si="4"/>
        <v>0</v>
      </c>
      <c r="Q56" s="162">
        <f t="shared" si="5"/>
        <v>0</v>
      </c>
    </row>
    <row r="57" spans="1:17">
      <c r="A57">
        <v>50</v>
      </c>
      <c r="M57" s="64"/>
      <c r="O57" s="161"/>
      <c r="P57">
        <f t="shared" si="4"/>
        <v>0</v>
      </c>
      <c r="Q57" s="162">
        <f t="shared" si="5"/>
        <v>0</v>
      </c>
    </row>
    <row r="58" spans="1:17">
      <c r="A58">
        <v>51</v>
      </c>
      <c r="M58" s="64"/>
      <c r="O58" s="161"/>
      <c r="P58">
        <f t="shared" si="4"/>
        <v>0</v>
      </c>
      <c r="Q58" s="162">
        <f t="shared" si="5"/>
        <v>0</v>
      </c>
    </row>
    <row r="59" spans="1:17">
      <c r="A59">
        <v>52</v>
      </c>
      <c r="M59" s="64"/>
      <c r="O59" s="161"/>
      <c r="P59">
        <f t="shared" si="4"/>
        <v>0</v>
      </c>
      <c r="Q59" s="162">
        <f t="shared" si="5"/>
        <v>0</v>
      </c>
    </row>
    <row r="60" spans="1:17">
      <c r="A60">
        <v>53</v>
      </c>
      <c r="M60" s="64"/>
      <c r="O60" s="161"/>
      <c r="P60">
        <f t="shared" si="4"/>
        <v>0</v>
      </c>
      <c r="Q60" s="162">
        <f t="shared" si="5"/>
        <v>0</v>
      </c>
    </row>
    <row r="61" spans="1:17">
      <c r="A61">
        <v>54</v>
      </c>
      <c r="M61" s="64"/>
      <c r="O61" s="161"/>
      <c r="P61">
        <f t="shared" si="4"/>
        <v>0</v>
      </c>
      <c r="Q61" s="162">
        <f t="shared" si="5"/>
        <v>0</v>
      </c>
    </row>
    <row r="62" spans="1:17">
      <c r="A62">
        <v>55</v>
      </c>
      <c r="M62" s="64"/>
      <c r="O62" s="161"/>
      <c r="P62">
        <f t="shared" si="4"/>
        <v>0</v>
      </c>
      <c r="Q62" s="162">
        <f t="shared" si="5"/>
        <v>0</v>
      </c>
    </row>
    <row r="63" spans="1:17">
      <c r="A63">
        <v>56</v>
      </c>
      <c r="M63" s="64"/>
      <c r="O63" s="161"/>
      <c r="P63">
        <f t="shared" si="4"/>
        <v>0</v>
      </c>
      <c r="Q63" s="162">
        <f t="shared" si="5"/>
        <v>0</v>
      </c>
    </row>
    <row r="64" spans="1:17">
      <c r="A64">
        <v>57</v>
      </c>
      <c r="M64" s="64"/>
      <c r="O64" s="161"/>
      <c r="P64">
        <f t="shared" si="4"/>
        <v>0</v>
      </c>
      <c r="Q64" s="162">
        <f t="shared" si="5"/>
        <v>0</v>
      </c>
    </row>
    <row r="65" spans="1:17">
      <c r="A65">
        <v>58</v>
      </c>
      <c r="M65" s="64"/>
      <c r="O65" s="161"/>
      <c r="P65">
        <f t="shared" si="4"/>
        <v>0</v>
      </c>
      <c r="Q65" s="162">
        <f t="shared" si="5"/>
        <v>0</v>
      </c>
    </row>
    <row r="66" spans="1:17">
      <c r="A66" s="76">
        <v>59</v>
      </c>
      <c r="B66" s="76"/>
      <c r="C66" s="76"/>
      <c r="D66" s="76"/>
      <c r="E66" s="76"/>
      <c r="F66" s="76"/>
      <c r="G66" s="77"/>
      <c r="H66" s="76"/>
      <c r="I66" s="76"/>
      <c r="J66" s="78"/>
      <c r="K66" s="76"/>
      <c r="L66" s="76"/>
      <c r="M66" s="64"/>
      <c r="N66" s="170"/>
      <c r="O66" s="161"/>
      <c r="P66">
        <f t="shared" si="4"/>
        <v>0</v>
      </c>
      <c r="Q66" s="162">
        <f t="shared" si="5"/>
        <v>0</v>
      </c>
    </row>
    <row r="67" spans="1:17">
      <c r="A67" s="79">
        <v>60</v>
      </c>
      <c r="B67" s="79"/>
      <c r="C67" s="79"/>
      <c r="D67" s="79"/>
      <c r="E67" s="79"/>
      <c r="F67" s="79"/>
      <c r="G67" s="81"/>
      <c r="H67" s="79"/>
      <c r="I67" s="79"/>
      <c r="J67" s="82"/>
      <c r="K67" s="79"/>
      <c r="L67" s="79"/>
      <c r="M67" s="79"/>
      <c r="N67" s="85"/>
      <c r="O67" s="165"/>
      <c r="P67" s="79">
        <f t="shared" si="4"/>
        <v>0</v>
      </c>
      <c r="Q67" s="166">
        <f t="shared" si="5"/>
        <v>0</v>
      </c>
    </row>
    <row r="68" spans="1:17">
      <c r="M68" s="64"/>
      <c r="N68" s="71">
        <f>SUM(N48:N67)</f>
        <v>0</v>
      </c>
      <c r="O68" s="161">
        <f>SUM(O48:O67)</f>
        <v>0</v>
      </c>
      <c r="P68">
        <f>SUM(P48:P67)</f>
        <v>0</v>
      </c>
      <c r="Q68" s="162"/>
    </row>
    <row r="69" spans="1:17">
      <c r="O69" s="161"/>
      <c r="Q69" s="162"/>
    </row>
    <row r="70" spans="1:17">
      <c r="A70" s="79"/>
      <c r="B70" s="79"/>
      <c r="C70" s="79"/>
      <c r="D70" s="79"/>
      <c r="E70" s="79"/>
      <c r="F70" s="79"/>
      <c r="G70" s="81"/>
      <c r="H70" s="79"/>
      <c r="I70" s="79"/>
      <c r="J70" s="82"/>
      <c r="K70" s="79"/>
      <c r="L70" s="79"/>
      <c r="M70" s="79"/>
      <c r="N70" s="85"/>
      <c r="O70" s="165"/>
      <c r="P70" s="79"/>
      <c r="Q70" s="162"/>
    </row>
    <row r="71" spans="1:17">
      <c r="A71">
        <v>61</v>
      </c>
      <c r="M71" s="64"/>
      <c r="O71" s="161"/>
      <c r="P71">
        <f t="shared" ref="P71:P90" si="6">D71*SUM(N71,O71)</f>
        <v>0</v>
      </c>
      <c r="Q71" s="162">
        <f t="shared" ref="Q71:Q90" si="7">H71-SUM(K71)</f>
        <v>0</v>
      </c>
    </row>
    <row r="72" spans="1:17">
      <c r="A72">
        <v>62</v>
      </c>
      <c r="M72" s="64"/>
      <c r="O72" s="161"/>
      <c r="P72">
        <f t="shared" si="6"/>
        <v>0</v>
      </c>
      <c r="Q72" s="162">
        <f t="shared" si="7"/>
        <v>0</v>
      </c>
    </row>
    <row r="73" spans="1:17">
      <c r="A73">
        <v>63</v>
      </c>
      <c r="M73" s="64"/>
      <c r="O73" s="161"/>
      <c r="P73">
        <f t="shared" si="6"/>
        <v>0</v>
      </c>
      <c r="Q73" s="162">
        <f t="shared" si="7"/>
        <v>0</v>
      </c>
    </row>
    <row r="74" spans="1:17">
      <c r="A74">
        <v>64</v>
      </c>
      <c r="B74" s="160"/>
      <c r="M74" s="64"/>
      <c r="O74" s="161"/>
      <c r="P74">
        <f t="shared" si="6"/>
        <v>0</v>
      </c>
      <c r="Q74" s="162">
        <f t="shared" si="7"/>
        <v>0</v>
      </c>
    </row>
    <row r="75" spans="1:17">
      <c r="A75">
        <v>65</v>
      </c>
      <c r="M75" s="64"/>
      <c r="O75" s="161"/>
      <c r="P75">
        <f t="shared" si="6"/>
        <v>0</v>
      </c>
      <c r="Q75" s="162">
        <f t="shared" si="7"/>
        <v>0</v>
      </c>
    </row>
    <row r="76" spans="1:17">
      <c r="A76">
        <v>66</v>
      </c>
      <c r="M76" s="64"/>
      <c r="O76" s="161"/>
      <c r="P76">
        <f t="shared" si="6"/>
        <v>0</v>
      </c>
      <c r="Q76" s="162">
        <f t="shared" si="7"/>
        <v>0</v>
      </c>
    </row>
    <row r="77" spans="1:17">
      <c r="A77">
        <v>67</v>
      </c>
      <c r="M77" s="64"/>
      <c r="O77" s="161"/>
      <c r="P77">
        <f t="shared" si="6"/>
        <v>0</v>
      </c>
      <c r="Q77" s="162">
        <f t="shared" si="7"/>
        <v>0</v>
      </c>
    </row>
    <row r="78" spans="1:17">
      <c r="A78">
        <v>68</v>
      </c>
      <c r="B78" s="160"/>
      <c r="M78" s="64"/>
      <c r="O78" s="161"/>
      <c r="P78">
        <f t="shared" si="6"/>
        <v>0</v>
      </c>
      <c r="Q78" s="162">
        <f t="shared" si="7"/>
        <v>0</v>
      </c>
    </row>
    <row r="79" spans="1:17">
      <c r="A79">
        <v>69</v>
      </c>
      <c r="M79" s="64"/>
      <c r="O79" s="161"/>
      <c r="P79">
        <f t="shared" si="6"/>
        <v>0</v>
      </c>
      <c r="Q79" s="162">
        <f t="shared" si="7"/>
        <v>0</v>
      </c>
    </row>
    <row r="80" spans="1:17">
      <c r="A80">
        <v>70</v>
      </c>
      <c r="M80" s="64"/>
      <c r="O80" s="161"/>
      <c r="P80">
        <f t="shared" si="6"/>
        <v>0</v>
      </c>
      <c r="Q80" s="162">
        <f t="shared" si="7"/>
        <v>0</v>
      </c>
    </row>
    <row r="81" spans="1:17">
      <c r="A81">
        <v>71</v>
      </c>
      <c r="M81" s="64"/>
      <c r="O81" s="161"/>
      <c r="P81">
        <f t="shared" si="6"/>
        <v>0</v>
      </c>
      <c r="Q81" s="162">
        <f t="shared" si="7"/>
        <v>0</v>
      </c>
    </row>
    <row r="82" spans="1:17">
      <c r="A82">
        <v>72</v>
      </c>
      <c r="M82" s="64"/>
      <c r="O82" s="161"/>
      <c r="P82">
        <f t="shared" si="6"/>
        <v>0</v>
      </c>
      <c r="Q82" s="162">
        <f t="shared" si="7"/>
        <v>0</v>
      </c>
    </row>
    <row r="83" spans="1:17">
      <c r="A83">
        <v>73</v>
      </c>
      <c r="M83" s="64"/>
      <c r="O83" s="161"/>
      <c r="P83">
        <f t="shared" si="6"/>
        <v>0</v>
      </c>
      <c r="Q83" s="162">
        <f t="shared" si="7"/>
        <v>0</v>
      </c>
    </row>
    <row r="84" spans="1:17">
      <c r="A84">
        <v>74</v>
      </c>
      <c r="M84" s="64"/>
      <c r="O84" s="161"/>
      <c r="P84">
        <f t="shared" si="6"/>
        <v>0</v>
      </c>
      <c r="Q84" s="162">
        <f t="shared" si="7"/>
        <v>0</v>
      </c>
    </row>
    <row r="85" spans="1:17">
      <c r="A85">
        <v>75</v>
      </c>
      <c r="M85" s="64"/>
      <c r="O85" s="161"/>
      <c r="P85">
        <f t="shared" si="6"/>
        <v>0</v>
      </c>
      <c r="Q85" s="162">
        <f t="shared" si="7"/>
        <v>0</v>
      </c>
    </row>
    <row r="86" spans="1:17">
      <c r="A86">
        <v>76</v>
      </c>
      <c r="M86" s="64"/>
      <c r="O86" s="161"/>
      <c r="P86">
        <f t="shared" si="6"/>
        <v>0</v>
      </c>
      <c r="Q86" s="162">
        <f t="shared" si="7"/>
        <v>0</v>
      </c>
    </row>
    <row r="87" spans="1:17">
      <c r="A87">
        <v>77</v>
      </c>
      <c r="M87" s="64"/>
      <c r="O87" s="161"/>
      <c r="P87">
        <f t="shared" si="6"/>
        <v>0</v>
      </c>
      <c r="Q87" s="162">
        <f t="shared" si="7"/>
        <v>0</v>
      </c>
    </row>
    <row r="88" spans="1:17">
      <c r="A88">
        <v>78</v>
      </c>
      <c r="M88" s="64"/>
      <c r="O88" s="161"/>
      <c r="P88">
        <f t="shared" si="6"/>
        <v>0</v>
      </c>
      <c r="Q88" s="162">
        <f t="shared" si="7"/>
        <v>0</v>
      </c>
    </row>
    <row r="89" spans="1:17">
      <c r="A89">
        <v>79</v>
      </c>
      <c r="M89" s="64"/>
      <c r="O89" s="161"/>
      <c r="P89">
        <f t="shared" si="6"/>
        <v>0</v>
      </c>
      <c r="Q89" s="162">
        <f t="shared" si="7"/>
        <v>0</v>
      </c>
    </row>
    <row r="90" spans="1:17">
      <c r="A90" s="79">
        <v>80</v>
      </c>
      <c r="B90" s="79"/>
      <c r="C90" s="79"/>
      <c r="D90" s="79"/>
      <c r="E90" s="79"/>
      <c r="F90" s="79"/>
      <c r="G90" s="81"/>
      <c r="H90" s="79"/>
      <c r="I90" s="79"/>
      <c r="J90" s="82"/>
      <c r="K90" s="79"/>
      <c r="L90" s="79"/>
      <c r="M90" s="79"/>
      <c r="N90" s="85"/>
      <c r="O90" s="165"/>
      <c r="P90" s="79">
        <f t="shared" si="6"/>
        <v>0</v>
      </c>
      <c r="Q90" s="166">
        <f t="shared" si="7"/>
        <v>0</v>
      </c>
    </row>
    <row r="91" spans="1:17">
      <c r="N91" s="71">
        <f>SUM(N71:N90)</f>
        <v>0</v>
      </c>
      <c r="O91" s="161">
        <f>SUM(O71:O90)</f>
        <v>0</v>
      </c>
      <c r="P91">
        <f>SUM(P71:P90)</f>
        <v>0</v>
      </c>
      <c r="Q91" s="162"/>
    </row>
    <row r="92" spans="1:17">
      <c r="A92" s="76"/>
      <c r="B92" s="76"/>
      <c r="C92" s="76"/>
      <c r="D92" s="76"/>
      <c r="E92" s="76"/>
      <c r="F92" s="76"/>
      <c r="G92" s="77"/>
      <c r="H92" s="76"/>
      <c r="I92" s="76"/>
      <c r="J92" s="78"/>
      <c r="K92" s="76"/>
      <c r="L92" s="76"/>
      <c r="M92" s="76"/>
      <c r="N92" s="170"/>
      <c r="O92" s="161"/>
      <c r="P92" s="76"/>
      <c r="Q92" s="162"/>
    </row>
    <row r="93" spans="1:17">
      <c r="A93" s="79"/>
      <c r="B93" s="79"/>
      <c r="C93" s="79"/>
      <c r="D93" s="79"/>
      <c r="E93" s="79"/>
      <c r="F93" s="79"/>
      <c r="G93" s="81"/>
      <c r="H93" s="79"/>
      <c r="I93" s="79"/>
      <c r="J93" s="82"/>
      <c r="K93" s="79"/>
      <c r="L93" s="79"/>
      <c r="M93" s="79"/>
      <c r="N93" s="85"/>
      <c r="O93" s="165"/>
      <c r="P93" s="79"/>
      <c r="Q93" s="162"/>
    </row>
    <row r="94" spans="1:17">
      <c r="A94">
        <v>81</v>
      </c>
      <c r="O94" s="161"/>
      <c r="P94">
        <f t="shared" ref="P94:P113" si="8">D94*SUM(N94,O94)</f>
        <v>0</v>
      </c>
      <c r="Q94" s="162">
        <f t="shared" ref="Q94:Q111" si="9">H94-SUM(K94)</f>
        <v>0</v>
      </c>
    </row>
    <row r="95" spans="1:17">
      <c r="A95">
        <v>82</v>
      </c>
      <c r="O95" s="161"/>
      <c r="P95">
        <f t="shared" si="8"/>
        <v>0</v>
      </c>
      <c r="Q95" s="162">
        <f t="shared" si="9"/>
        <v>0</v>
      </c>
    </row>
    <row r="96" spans="1:17">
      <c r="A96">
        <v>83</v>
      </c>
      <c r="O96" s="161"/>
      <c r="P96">
        <f t="shared" si="8"/>
        <v>0</v>
      </c>
      <c r="Q96" s="162">
        <f t="shared" si="9"/>
        <v>0</v>
      </c>
    </row>
    <row r="97" spans="1:17">
      <c r="A97">
        <v>84</v>
      </c>
      <c r="O97" s="161"/>
      <c r="P97">
        <f t="shared" si="8"/>
        <v>0</v>
      </c>
      <c r="Q97" s="162">
        <f t="shared" si="9"/>
        <v>0</v>
      </c>
    </row>
    <row r="98" spans="1:17">
      <c r="A98">
        <v>85</v>
      </c>
      <c r="O98" s="161"/>
      <c r="P98">
        <f t="shared" si="8"/>
        <v>0</v>
      </c>
      <c r="Q98" s="162">
        <f t="shared" si="9"/>
        <v>0</v>
      </c>
    </row>
    <row r="99" spans="1:17">
      <c r="A99">
        <v>86</v>
      </c>
      <c r="O99" s="161"/>
      <c r="P99">
        <f t="shared" si="8"/>
        <v>0</v>
      </c>
      <c r="Q99" s="162">
        <f t="shared" si="9"/>
        <v>0</v>
      </c>
    </row>
    <row r="100" spans="1:17">
      <c r="A100">
        <v>87</v>
      </c>
      <c r="O100" s="161"/>
      <c r="P100">
        <f t="shared" si="8"/>
        <v>0</v>
      </c>
      <c r="Q100" s="162">
        <f t="shared" si="9"/>
        <v>0</v>
      </c>
    </row>
    <row r="101" spans="1:17">
      <c r="A101">
        <v>88</v>
      </c>
      <c r="O101" s="161"/>
      <c r="P101">
        <f t="shared" si="8"/>
        <v>0</v>
      </c>
      <c r="Q101" s="162">
        <f t="shared" si="9"/>
        <v>0</v>
      </c>
    </row>
    <row r="102" spans="1:17">
      <c r="A102">
        <v>89</v>
      </c>
      <c r="O102" s="161"/>
      <c r="P102">
        <f t="shared" si="8"/>
        <v>0</v>
      </c>
      <c r="Q102" s="162">
        <f t="shared" si="9"/>
        <v>0</v>
      </c>
    </row>
    <row r="103" spans="1:17">
      <c r="A103">
        <v>90</v>
      </c>
      <c r="O103" s="161"/>
      <c r="P103">
        <f t="shared" si="8"/>
        <v>0</v>
      </c>
      <c r="Q103" s="162">
        <f t="shared" si="9"/>
        <v>0</v>
      </c>
    </row>
    <row r="104" spans="1:17">
      <c r="A104">
        <v>91</v>
      </c>
      <c r="B104" s="160"/>
      <c r="O104" s="161"/>
      <c r="P104">
        <f t="shared" si="8"/>
        <v>0</v>
      </c>
      <c r="Q104" s="162">
        <f t="shared" si="9"/>
        <v>0</v>
      </c>
    </row>
    <row r="105" spans="1:17">
      <c r="A105">
        <v>92</v>
      </c>
      <c r="O105" s="161"/>
      <c r="P105">
        <f t="shared" si="8"/>
        <v>0</v>
      </c>
      <c r="Q105" s="162">
        <f t="shared" si="9"/>
        <v>0</v>
      </c>
    </row>
    <row r="106" spans="1:17">
      <c r="A106">
        <v>93</v>
      </c>
      <c r="O106" s="161"/>
      <c r="P106">
        <f t="shared" si="8"/>
        <v>0</v>
      </c>
      <c r="Q106" s="162">
        <f t="shared" si="9"/>
        <v>0</v>
      </c>
    </row>
    <row r="107" spans="1:17">
      <c r="A107">
        <v>94</v>
      </c>
      <c r="O107" s="161"/>
      <c r="P107">
        <f t="shared" si="8"/>
        <v>0</v>
      </c>
      <c r="Q107" s="162">
        <f t="shared" si="9"/>
        <v>0</v>
      </c>
    </row>
    <row r="108" spans="1:17">
      <c r="A108">
        <v>95</v>
      </c>
      <c r="O108" s="161"/>
      <c r="P108">
        <f t="shared" si="8"/>
        <v>0</v>
      </c>
      <c r="Q108" s="162">
        <f t="shared" si="9"/>
        <v>0</v>
      </c>
    </row>
    <row r="109" spans="1:17">
      <c r="A109">
        <v>96</v>
      </c>
      <c r="B109" s="160"/>
      <c r="O109" s="161"/>
      <c r="P109">
        <f t="shared" si="8"/>
        <v>0</v>
      </c>
      <c r="Q109" s="162">
        <f t="shared" si="9"/>
        <v>0</v>
      </c>
    </row>
    <row r="110" spans="1:17">
      <c r="A110">
        <v>97</v>
      </c>
      <c r="O110" s="161"/>
      <c r="P110">
        <f t="shared" si="8"/>
        <v>0</v>
      </c>
      <c r="Q110" s="162">
        <f t="shared" si="9"/>
        <v>0</v>
      </c>
    </row>
    <row r="111" spans="1:17">
      <c r="A111">
        <v>98</v>
      </c>
      <c r="O111" s="161"/>
      <c r="P111">
        <f t="shared" si="8"/>
        <v>0</v>
      </c>
      <c r="Q111" s="162">
        <f t="shared" si="9"/>
        <v>0</v>
      </c>
    </row>
    <row r="112" spans="1:17">
      <c r="A112">
        <v>99</v>
      </c>
      <c r="B112" s="160"/>
      <c r="O112" s="161"/>
      <c r="P112">
        <f t="shared" si="8"/>
        <v>0</v>
      </c>
      <c r="Q112" s="162">
        <f>H112-SUM(K112)</f>
        <v>0</v>
      </c>
    </row>
    <row r="113" spans="1:17">
      <c r="A113">
        <v>100</v>
      </c>
      <c r="C113" s="79"/>
      <c r="D113" s="79"/>
      <c r="E113" s="79"/>
      <c r="F113" s="79"/>
      <c r="G113" s="81"/>
      <c r="H113" s="79"/>
      <c r="I113" s="79"/>
      <c r="J113" s="82"/>
      <c r="K113" s="79"/>
      <c r="L113" s="79"/>
      <c r="M113" s="79"/>
      <c r="N113" s="85"/>
      <c r="O113" s="165"/>
      <c r="P113" s="79">
        <f t="shared" si="8"/>
        <v>0</v>
      </c>
      <c r="Q113" s="166">
        <f>H113-SUM(K113)</f>
        <v>0</v>
      </c>
    </row>
    <row r="114" spans="1:17">
      <c r="M114" s="86"/>
      <c r="N114" s="71">
        <f>SUM(N94:N113)</f>
        <v>0</v>
      </c>
      <c r="O114" s="161">
        <f>SUM(O94:O113)</f>
        <v>0</v>
      </c>
      <c r="P114">
        <f>SUM(P94:P113)</f>
        <v>0</v>
      </c>
      <c r="Q114" s="162"/>
    </row>
    <row r="115" spans="1:17" ht="14.25" thickBot="1">
      <c r="A115" s="74"/>
      <c r="B115" s="88"/>
      <c r="C115" s="88"/>
      <c r="D115" s="88"/>
      <c r="E115" s="88"/>
      <c r="F115" s="88"/>
      <c r="G115" s="90"/>
      <c r="H115" s="88"/>
      <c r="I115" s="88"/>
      <c r="J115" s="91"/>
      <c r="K115" s="88"/>
      <c r="L115" s="88"/>
      <c r="M115" s="88"/>
      <c r="N115" s="171"/>
      <c r="O115" s="171"/>
      <c r="P115" s="88"/>
      <c r="Q115" s="74"/>
    </row>
    <row r="116" spans="1:17" ht="14.25" thickTop="1">
      <c r="K116" s="93" t="s">
        <v>288</v>
      </c>
      <c r="L116" s="86"/>
      <c r="M116" s="95"/>
      <c r="N116" s="161">
        <f>SUM(N114,N91,N68,N45,N22)</f>
        <v>0</v>
      </c>
      <c r="O116" s="161">
        <f>SUM(O114,O91,O68,O45,O22)</f>
        <v>0</v>
      </c>
      <c r="P116" s="71">
        <f>SUM(P114,P91,P68,P22,P45)</f>
        <v>0</v>
      </c>
    </row>
    <row r="117" spans="1:17">
      <c r="N117" s="161"/>
      <c r="O117" s="161"/>
    </row>
    <row r="118" spans="1:17" ht="13.5" customHeight="1" thickBot="1"/>
    <row r="119" spans="1:17" ht="13.5" customHeight="1" thickBot="1">
      <c r="D119" s="274" t="s">
        <v>289</v>
      </c>
      <c r="E119" s="275"/>
      <c r="F119" s="276"/>
      <c r="G119" s="277"/>
      <c r="H119" s="96"/>
      <c r="I119" s="96"/>
      <c r="J119" s="97"/>
      <c r="L119" s="270" t="s">
        <v>290</v>
      </c>
      <c r="M119" s="271"/>
      <c r="N119" s="132" t="s">
        <v>291</v>
      </c>
      <c r="O119" s="172" t="s">
        <v>292</v>
      </c>
    </row>
    <row r="120" spans="1:17">
      <c r="D120" s="100" t="s">
        <v>293</v>
      </c>
      <c r="E120" s="173"/>
      <c r="F120" s="272"/>
      <c r="G120" s="273"/>
      <c r="H120" s="102"/>
      <c r="I120" s="102"/>
      <c r="J120" s="103"/>
      <c r="L120" s="135"/>
      <c r="M120" s="105"/>
      <c r="N120" s="136"/>
      <c r="O120" s="174"/>
      <c r="P120" s="71"/>
    </row>
    <row r="121" spans="1:17">
      <c r="D121" s="108" t="s">
        <v>294</v>
      </c>
      <c r="E121" s="175"/>
      <c r="F121" s="272"/>
      <c r="G121" s="273"/>
      <c r="H121" s="102"/>
      <c r="I121" s="102"/>
      <c r="J121" s="76"/>
      <c r="L121" s="139"/>
      <c r="M121" s="111"/>
      <c r="N121" s="176"/>
      <c r="O121" s="177"/>
    </row>
    <row r="122" spans="1:17">
      <c r="D122" s="108" t="s">
        <v>295</v>
      </c>
      <c r="E122" s="175"/>
      <c r="F122" s="272"/>
      <c r="G122" s="273"/>
      <c r="H122" s="102"/>
      <c r="I122" s="102"/>
      <c r="J122" s="103"/>
      <c r="L122" s="139"/>
      <c r="M122" s="111"/>
      <c r="N122" s="176"/>
      <c r="O122" s="178"/>
    </row>
    <row r="123" spans="1:17">
      <c r="D123" s="108" t="s">
        <v>296</v>
      </c>
      <c r="E123" s="175"/>
      <c r="F123" s="272"/>
      <c r="G123" s="273"/>
      <c r="H123" s="102"/>
      <c r="I123" s="102"/>
      <c r="J123" s="103"/>
      <c r="L123" s="139"/>
      <c r="M123" s="111"/>
      <c r="N123" s="176"/>
      <c r="O123" s="178"/>
    </row>
    <row r="124" spans="1:17">
      <c r="D124" s="108" t="s">
        <v>297</v>
      </c>
      <c r="E124" s="175"/>
      <c r="F124" s="272"/>
      <c r="G124" s="273"/>
      <c r="H124" s="102"/>
      <c r="I124" s="102"/>
      <c r="J124" s="103"/>
      <c r="L124" s="139"/>
      <c r="M124" s="111"/>
      <c r="N124" s="176"/>
      <c r="O124" s="178"/>
    </row>
    <row r="125" spans="1:17">
      <c r="D125" s="108" t="s">
        <v>298</v>
      </c>
      <c r="E125" s="179"/>
      <c r="F125" s="272"/>
      <c r="G125" s="273"/>
      <c r="H125" s="102"/>
      <c r="I125" s="102"/>
      <c r="J125" s="103"/>
      <c r="L125" s="139"/>
      <c r="M125" s="111"/>
      <c r="N125" s="176"/>
      <c r="O125" s="178"/>
    </row>
    <row r="126" spans="1:17">
      <c r="D126" s="108" t="s">
        <v>299</v>
      </c>
      <c r="E126" s="175"/>
      <c r="F126" s="272"/>
      <c r="G126" s="273"/>
      <c r="H126" s="102"/>
      <c r="I126" s="102"/>
      <c r="J126" s="103"/>
      <c r="L126" s="139"/>
      <c r="M126" s="111"/>
      <c r="N126" s="176"/>
      <c r="O126" s="178"/>
    </row>
    <row r="127" spans="1:17">
      <c r="D127" s="116" t="s">
        <v>300</v>
      </c>
      <c r="E127" s="180"/>
      <c r="F127" s="278"/>
      <c r="G127" s="279"/>
      <c r="H127" s="102"/>
      <c r="I127" s="102"/>
      <c r="J127" s="103"/>
      <c r="L127" s="139"/>
      <c r="M127" s="111"/>
      <c r="N127" s="176"/>
      <c r="O127" s="178"/>
    </row>
    <row r="128" spans="1:17">
      <c r="D128" s="108" t="s">
        <v>301</v>
      </c>
      <c r="E128" s="175"/>
      <c r="F128" s="272"/>
      <c r="G128" s="273"/>
      <c r="H128" s="102"/>
      <c r="I128" s="102"/>
      <c r="J128" s="103"/>
      <c r="L128" s="139"/>
      <c r="M128" s="111"/>
      <c r="N128" s="176"/>
      <c r="O128" s="178"/>
    </row>
    <row r="129" spans="4:15">
      <c r="D129" s="108" t="s">
        <v>302</v>
      </c>
      <c r="E129" s="179"/>
      <c r="F129" s="272"/>
      <c r="G129" s="273"/>
      <c r="H129" s="102"/>
      <c r="I129" s="102"/>
      <c r="J129" s="103"/>
      <c r="L129" s="139"/>
      <c r="M129" s="111"/>
      <c r="N129" s="176"/>
      <c r="O129" s="178"/>
    </row>
    <row r="130" spans="4:15">
      <c r="D130" s="108" t="s">
        <v>303</v>
      </c>
      <c r="E130" s="175"/>
      <c r="F130" s="272"/>
      <c r="G130" s="273"/>
      <c r="H130" s="102"/>
      <c r="I130" s="102"/>
      <c r="J130" s="103"/>
      <c r="L130" s="135"/>
      <c r="M130" s="105"/>
      <c r="N130" s="136"/>
      <c r="O130" s="181"/>
    </row>
    <row r="131" spans="4:15">
      <c r="D131" s="108" t="s">
        <v>304</v>
      </c>
      <c r="E131" s="182"/>
      <c r="F131" s="272"/>
      <c r="G131" s="273"/>
      <c r="H131" s="102"/>
      <c r="I131" s="102"/>
      <c r="J131" s="103"/>
      <c r="L131" s="139"/>
      <c r="M131" s="111"/>
      <c r="N131" s="176"/>
      <c r="O131" s="178"/>
    </row>
    <row r="132" spans="4:15">
      <c r="D132" s="108" t="s">
        <v>305</v>
      </c>
      <c r="E132" s="182"/>
      <c r="F132" s="272"/>
      <c r="G132" s="273"/>
      <c r="H132" s="102"/>
      <c r="I132" s="102"/>
      <c r="J132" s="103"/>
      <c r="L132" s="139"/>
      <c r="M132" s="111"/>
      <c r="N132" s="176"/>
      <c r="O132" s="178"/>
    </row>
    <row r="133" spans="4:15">
      <c r="D133" s="108" t="s">
        <v>306</v>
      </c>
      <c r="E133" s="175"/>
      <c r="F133" s="272"/>
      <c r="G133" s="273"/>
      <c r="H133" s="102"/>
      <c r="I133" s="102"/>
      <c r="J133" s="103"/>
      <c r="L133" s="139"/>
      <c r="M133" s="111"/>
      <c r="N133" s="176"/>
      <c r="O133" s="178"/>
    </row>
    <row r="134" spans="4:15">
      <c r="D134" s="108" t="s">
        <v>307</v>
      </c>
      <c r="E134" s="175"/>
      <c r="F134" s="272"/>
      <c r="G134" s="273"/>
      <c r="H134" s="102"/>
      <c r="I134" s="102"/>
      <c r="J134" s="103"/>
      <c r="L134" s="139"/>
      <c r="M134" s="111"/>
      <c r="N134" s="176"/>
      <c r="O134" s="178"/>
    </row>
    <row r="135" spans="4:15">
      <c r="D135" s="108" t="s">
        <v>308</v>
      </c>
      <c r="E135" s="183"/>
      <c r="F135" s="272"/>
      <c r="G135" s="273"/>
      <c r="H135" s="102"/>
      <c r="I135" s="102"/>
      <c r="J135" s="103"/>
      <c r="L135" s="139"/>
      <c r="M135" s="111"/>
      <c r="N135" s="176"/>
      <c r="O135" s="178"/>
    </row>
    <row r="136" spans="4:15" ht="14.25" thickBot="1">
      <c r="D136" s="121" t="s">
        <v>309</v>
      </c>
      <c r="E136" s="184"/>
      <c r="F136" s="268"/>
      <c r="G136" s="269"/>
      <c r="H136" s="102"/>
      <c r="I136" s="102"/>
      <c r="J136" s="103"/>
      <c r="L136" s="139"/>
      <c r="M136" s="111"/>
      <c r="N136" s="176"/>
      <c r="O136" s="178"/>
    </row>
    <row r="137" spans="4:15">
      <c r="G137" s="123"/>
      <c r="H137" s="102"/>
      <c r="I137" s="102"/>
      <c r="J137" s="103"/>
      <c r="L137" s="139"/>
      <c r="M137" s="111"/>
      <c r="N137" s="176"/>
      <c r="O137" s="178"/>
    </row>
    <row r="138" spans="4:15" ht="14.25" thickBot="1">
      <c r="G138" s="123"/>
      <c r="H138" s="102"/>
      <c r="I138" s="102"/>
      <c r="J138" s="103"/>
      <c r="L138" s="185"/>
      <c r="M138" s="125"/>
      <c r="N138" s="186"/>
      <c r="O138" s="187"/>
    </row>
    <row r="139" spans="4:15" ht="14.25" thickBot="1">
      <c r="G139" s="123"/>
      <c r="H139" s="102"/>
      <c r="I139" s="102"/>
      <c r="J139" s="103"/>
      <c r="L139" s="188" t="s">
        <v>288</v>
      </c>
      <c r="M139" s="129">
        <f>SUM(M120:M138)</f>
        <v>0</v>
      </c>
      <c r="N139" s="129">
        <f>SUM(N120:N138)</f>
        <v>0</v>
      </c>
      <c r="O139" s="189">
        <f>SUM(O120:O138)</f>
        <v>0</v>
      </c>
    </row>
    <row r="141" spans="4:15" ht="13.5" customHeight="1" thickBot="1"/>
    <row r="142" spans="4:15" ht="13.5" customHeight="1" thickBot="1">
      <c r="G142" s="270" t="s">
        <v>310</v>
      </c>
      <c r="H142" s="271"/>
      <c r="I142" s="132" t="s">
        <v>291</v>
      </c>
      <c r="J142" s="133" t="s">
        <v>292</v>
      </c>
      <c r="K142" s="134" t="s">
        <v>311</v>
      </c>
    </row>
    <row r="143" spans="4:15">
      <c r="G143" s="135" t="s">
        <v>312</v>
      </c>
      <c r="H143" s="105">
        <v>0</v>
      </c>
      <c r="I143" s="136">
        <v>0</v>
      </c>
      <c r="J143" s="137">
        <v>0</v>
      </c>
      <c r="K143" s="138">
        <v>0</v>
      </c>
    </row>
    <row r="144" spans="4:15">
      <c r="G144" s="139" t="s">
        <v>313</v>
      </c>
      <c r="H144" s="111">
        <v>0</v>
      </c>
      <c r="I144" s="111">
        <v>0</v>
      </c>
      <c r="J144" s="140">
        <v>0</v>
      </c>
      <c r="K144" s="141">
        <v>0</v>
      </c>
    </row>
    <row r="145" spans="7:11">
      <c r="G145" s="139" t="s">
        <v>314</v>
      </c>
      <c r="H145" s="111">
        <v>0</v>
      </c>
      <c r="I145" s="111">
        <v>0</v>
      </c>
      <c r="J145" s="140">
        <v>0</v>
      </c>
      <c r="K145" s="141">
        <v>0</v>
      </c>
    </row>
    <row r="146" spans="7:11">
      <c r="G146" s="139" t="s">
        <v>315</v>
      </c>
      <c r="H146" s="111">
        <v>0</v>
      </c>
      <c r="I146" s="111">
        <v>0</v>
      </c>
      <c r="J146" s="140">
        <v>0</v>
      </c>
      <c r="K146" s="141">
        <v>0</v>
      </c>
    </row>
    <row r="147" spans="7:11" ht="14.25" thickBot="1">
      <c r="G147" s="142" t="s">
        <v>316</v>
      </c>
      <c r="H147" s="143">
        <v>0</v>
      </c>
      <c r="I147" s="143">
        <v>0</v>
      </c>
      <c r="J147" s="144">
        <v>0</v>
      </c>
      <c r="K147" s="145">
        <v>0</v>
      </c>
    </row>
    <row r="148" spans="7:11" ht="14.25" thickBot="1">
      <c r="G148" s="146" t="s">
        <v>288</v>
      </c>
      <c r="H148" s="147"/>
      <c r="I148" s="147"/>
      <c r="J148" s="140"/>
      <c r="K148" s="148">
        <f>SUM(K143:K147)</f>
        <v>0</v>
      </c>
    </row>
  </sheetData>
  <mergeCells count="20">
    <mergeCell ref="F129:G129"/>
    <mergeCell ref="D119:G119"/>
    <mergeCell ref="L119:M119"/>
    <mergeCell ref="F120:G120"/>
    <mergeCell ref="F121:G121"/>
    <mergeCell ref="F122:G122"/>
    <mergeCell ref="F123:G123"/>
    <mergeCell ref="F124:G124"/>
    <mergeCell ref="F125:G125"/>
    <mergeCell ref="F126:G126"/>
    <mergeCell ref="F127:G127"/>
    <mergeCell ref="F128:G128"/>
    <mergeCell ref="F136:G136"/>
    <mergeCell ref="G142:H142"/>
    <mergeCell ref="F130:G130"/>
    <mergeCell ref="F131:G131"/>
    <mergeCell ref="F132:G132"/>
    <mergeCell ref="F133:G133"/>
    <mergeCell ref="F134:G134"/>
    <mergeCell ref="F135:G135"/>
  </mergeCells>
  <phoneticPr fontId="2"/>
  <pageMargins left="0.69861111111111107" right="0.69861111111111107" top="0.75" bottom="0.75" header="0.3" footer="0.3"/>
  <pageSetup paperSize="9" firstPageNumber="4294963191" orientation="portrait" horizontalDpi="1200" copies="0"/>
  <headerFooter alignWithMargins="0"/>
</worksheet>
</file>

<file path=xl/worksheets/sheet9.xml><?xml version="1.0" encoding="utf-8"?>
<worksheet xmlns="http://schemas.openxmlformats.org/spreadsheetml/2006/main" xmlns:r="http://schemas.openxmlformats.org/officeDocument/2006/relationships">
  <sheetPr codeName="Sheet8"/>
  <dimension ref="A1"/>
  <sheetViews>
    <sheetView zoomScale="97" zoomScaleSheetLayoutView="100" workbookViewId="0">
      <selection activeCell="K25" sqref="K2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ルール＆合計</vt:lpstr>
      <vt:lpstr>デモトレ履歴</vt:lpstr>
      <vt:lpstr>画像11.09～</vt:lpstr>
      <vt:lpstr>気づき</vt:lpstr>
      <vt:lpstr>決まり事</vt:lpstr>
      <vt:lpstr>成績表</vt:lpstr>
      <vt:lpstr>画像11.02～</vt:lpstr>
      <vt:lpstr>検証データ_原紙</vt:lpstr>
      <vt:lpstr>画像_原紙</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2015-11-15T12:36:59Z</dcterms:modified>
</cp:coreProperties>
</file>