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7935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デモトレード用_AUDJPY_1日足" sheetId="5" r:id="rId5"/>
    <sheet name="過去検証用ＣＡＤＪＰＹ１日足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<sst xmlns="http://schemas.openxmlformats.org/spreadsheetml/2006/main" count="450" uniqueCount="134">
  <si>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</si>
  <si>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</si>
  <si>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</si>
  <si>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</si>
  <si>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</si>
  <si>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</si>
  <si>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</si>
  <si>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</si>
  <si>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</si>
  <si>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</si>
  <si>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</si>
  <si>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</si>
  <si>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</si>
  <si>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</si>
  <si>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</si>
  <si>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</si>
  <si>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</si>
  <si>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</si>
  <si>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</si>
  <si>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</si>
  <si>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</si>
  <si>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</si>
  <si>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</si>
  <si>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</si>
  <si>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</si>
  <si>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</si>
  <si>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</si>
  <si>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</si>
  <si>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</si>
  <si>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</si>
  <si>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</si>
  <si>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</si>
  <si>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</si>
  <si>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</si>
  <si>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</si>
  <si>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</si>
  <si>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</si>
  <si>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</si>
  <si>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</si>
  <si>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</si>
  <si>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</si>
  <si>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</si>
  <si>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</si>
  <si>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</si>
  <si>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</si>
  <si>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</si>
  <si>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</si>
  <si>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</si>
  <si>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</si>
  <si>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</si>
  <si>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</si>
  <si>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</si>
  <si>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</si>
  <si>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</si>
  <si>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</si>
  <si>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</si>
  <si>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</si>
  <si>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</si>
  <si>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</si>
  <si>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</si>
  <si>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</si>
  <si>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</si>
  <si>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</si>
  <si>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</si>
  <si>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</si>
  <si>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</si>
  <si>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</si>
  <si>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</si>
  <si>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</si>
  <si>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</si>
  <si>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</si>
  <si>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</si>
  <si>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</si>
  <si>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</si>
  <si>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</si>
  <si>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</si>
  <si>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</si>
  <si>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</si>
  <si>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</si>
  <si>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</si>
  <si>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</si>
  <si>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</si>
  <si>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</si>
  <si>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</si>
  <si>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</si>
  <si>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</si>
  <si>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</si>
  <si>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</si>
  <si>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</si>
  <si>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</si>
  <si>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</si>
  <si>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</si>
  <si>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</si>
  <si>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</si>
  <si>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</si>
  <si>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</si>
  <si>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</si>
  <si>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</si>
  <si>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</si>
  <si>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</si>
  <si>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</si>
  <si>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</si>
  <si>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</si>
  <si>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</si>
  <si>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</si>
  <si>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トレーリング</t>
  </si>
  <si>
    <t>ロスカット値</t>
  </si>
  <si>
    <t>エントリー値</t>
  </si>
  <si>
    <t>1日足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</si>
  <si>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</si>
  <si>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</si>
  <si>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</si>
  <si>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</si>
  <si>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</si>
  <si>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</si>
  <si>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AUD</t>
  </si>
  <si>
    <t>買い</t>
  </si>
  <si>
    <t>CAD</t>
  </si>
  <si>
    <t>JPY</t>
  </si>
  <si>
    <t>FS</t>
  </si>
  <si>
    <t>ストップ切り上げ</t>
  </si>
  <si>
    <t>ストップ切り下げ</t>
  </si>
  <si>
    <t>赤い線がサポレジ</t>
  </si>
  <si>
    <t>ポレジです</t>
  </si>
  <si>
    <t>左の赤のＥＢで入って、右の赤のＥＢで決済かけました</t>
  </si>
  <si>
    <t>損切り</t>
  </si>
  <si>
    <t>赤い線がサポレジです</t>
  </si>
  <si>
    <t>赤丸のＥＢで入りました</t>
  </si>
  <si>
    <t>赤線がサポレジです</t>
  </si>
  <si>
    <t>赤丸のＰＢで入りました</t>
  </si>
  <si>
    <t>左のＰＢで入って右のＰＢで決済しました</t>
  </si>
  <si>
    <t>上の赤線が引いたサポレジです</t>
  </si>
  <si>
    <t>下の赤線は、２０のもので、消し忘れていたのですが、ちょうど決済などに当たっていたので使いました。</t>
  </si>
  <si>
    <t>これが、前のも使えるということかと思いました。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</si>
</sst>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99" xfId="61" applyNumberFormat="1" applyFont="1" applyFill="1" applyBorder="1" applyAlignment="1" applyProtection="1">
      <alignment horizontal="center" vertical="center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100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495300</xdr:colOff>
      <xdr:row>20</xdr:row>
      <xdr:rowOff>38100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817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304800</xdr:colOff>
      <xdr:row>48</xdr:row>
      <xdr:rowOff>104775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29150"/>
          <a:ext cx="71628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10</xdr:col>
      <xdr:colOff>466725</xdr:colOff>
      <xdr:row>73</xdr:row>
      <xdr:rowOff>57150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15400"/>
          <a:ext cx="732472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17</xdr:col>
      <xdr:colOff>561975</xdr:colOff>
      <xdr:row>102</xdr:row>
      <xdr:rowOff>114300</xdr:rowOff>
    </xdr:to>
    <xdr:pic>
      <xdr:nvPicPr>
        <xdr:cNvPr id="4" name="Picture 5" descr="image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3201650"/>
          <a:ext cx="108489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9</xdr:col>
      <xdr:colOff>276225</xdr:colOff>
      <xdr:row>125</xdr:row>
      <xdr:rowOff>19050</xdr:rowOff>
    </xdr:to>
    <xdr:pic>
      <xdr:nvPicPr>
        <xdr:cNvPr id="5" name="Picture 6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345150"/>
          <a:ext cx="64484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8</xdr:col>
      <xdr:colOff>219075</xdr:colOff>
      <xdr:row>144</xdr:row>
      <xdr:rowOff>104775</xdr:rowOff>
    </xdr:to>
    <xdr:pic>
      <xdr:nvPicPr>
        <xdr:cNvPr id="6" name="Picture 7" descr="image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2288500"/>
          <a:ext cx="57054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12</xdr:col>
      <xdr:colOff>114300</xdr:colOff>
      <xdr:row>164</xdr:row>
      <xdr:rowOff>9525</xdr:rowOff>
    </xdr:to>
    <xdr:pic>
      <xdr:nvPicPr>
        <xdr:cNvPr id="7" name="Picture 8" descr="image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717500"/>
          <a:ext cx="83439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11</xdr:col>
      <xdr:colOff>466725</xdr:colOff>
      <xdr:row>180</xdr:row>
      <xdr:rowOff>114300</xdr:rowOff>
    </xdr:to>
    <xdr:pic>
      <xdr:nvPicPr>
        <xdr:cNvPr id="8" name="Picture 9" descr="image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8803600"/>
          <a:ext cx="80105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11</xdr:col>
      <xdr:colOff>104775</xdr:colOff>
      <xdr:row>212</xdr:row>
      <xdr:rowOff>85725</xdr:rowOff>
    </xdr:to>
    <xdr:pic>
      <xdr:nvPicPr>
        <xdr:cNvPr id="9" name="Picture 43" descr="image0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57400" y="33261300"/>
          <a:ext cx="55911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217</xdr:row>
      <xdr:rowOff>0</xdr:rowOff>
    </xdr:from>
    <xdr:to>
      <xdr:col>10</xdr:col>
      <xdr:colOff>228600</xdr:colOff>
      <xdr:row>235</xdr:row>
      <xdr:rowOff>19050</xdr:rowOff>
    </xdr:to>
    <xdr:pic>
      <xdr:nvPicPr>
        <xdr:cNvPr id="10" name="Picture 44" descr="image0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37204650"/>
          <a:ext cx="5029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240</xdr:row>
      <xdr:rowOff>0</xdr:rowOff>
    </xdr:from>
    <xdr:to>
      <xdr:col>11</xdr:col>
      <xdr:colOff>171450</xdr:colOff>
      <xdr:row>259</xdr:row>
      <xdr:rowOff>0</xdr:rowOff>
    </xdr:to>
    <xdr:pic>
      <xdr:nvPicPr>
        <xdr:cNvPr id="11" name="Picture 45" descr="image0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57400" y="41148000"/>
          <a:ext cx="56578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263</xdr:row>
      <xdr:rowOff>0</xdr:rowOff>
    </xdr:from>
    <xdr:to>
      <xdr:col>10</xdr:col>
      <xdr:colOff>104775</xdr:colOff>
      <xdr:row>279</xdr:row>
      <xdr:rowOff>152400</xdr:rowOff>
    </xdr:to>
    <xdr:pic>
      <xdr:nvPicPr>
        <xdr:cNvPr id="12" name="Picture 46" descr="image0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57400" y="45091350"/>
          <a:ext cx="49053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13</xdr:col>
      <xdr:colOff>495300</xdr:colOff>
      <xdr:row>307</xdr:row>
      <xdr:rowOff>95250</xdr:rowOff>
    </xdr:to>
    <xdr:pic>
      <xdr:nvPicPr>
        <xdr:cNvPr id="13" name="Picture 47" descr="image0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57400" y="48691800"/>
          <a:ext cx="735330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311</xdr:row>
      <xdr:rowOff>0</xdr:rowOff>
    </xdr:from>
    <xdr:to>
      <xdr:col>16</xdr:col>
      <xdr:colOff>600075</xdr:colOff>
      <xdr:row>328</xdr:row>
      <xdr:rowOff>28575</xdr:rowOff>
    </xdr:to>
    <xdr:pic>
      <xdr:nvPicPr>
        <xdr:cNvPr id="14" name="Picture 48" descr="image0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57400" y="53320950"/>
          <a:ext cx="95154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333</xdr:row>
      <xdr:rowOff>0</xdr:rowOff>
    </xdr:from>
    <xdr:to>
      <xdr:col>14</xdr:col>
      <xdr:colOff>476250</xdr:colOff>
      <xdr:row>353</xdr:row>
      <xdr:rowOff>161925</xdr:rowOff>
    </xdr:to>
    <xdr:pic>
      <xdr:nvPicPr>
        <xdr:cNvPr id="15" name="Picture 49" descr="image0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57400" y="57092850"/>
          <a:ext cx="80200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360</xdr:row>
      <xdr:rowOff>0</xdr:rowOff>
    </xdr:from>
    <xdr:to>
      <xdr:col>15</xdr:col>
      <xdr:colOff>76200</xdr:colOff>
      <xdr:row>379</xdr:row>
      <xdr:rowOff>57150</xdr:rowOff>
    </xdr:to>
    <xdr:pic>
      <xdr:nvPicPr>
        <xdr:cNvPr id="16" name="Picture 50" descr="image0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57400" y="61722000"/>
          <a:ext cx="83058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385</xdr:row>
      <xdr:rowOff>0</xdr:rowOff>
    </xdr:from>
    <xdr:to>
      <xdr:col>15</xdr:col>
      <xdr:colOff>171450</xdr:colOff>
      <xdr:row>401</xdr:row>
      <xdr:rowOff>95250</xdr:rowOff>
    </xdr:to>
    <xdr:pic>
      <xdr:nvPicPr>
        <xdr:cNvPr id="17" name="Picture 51" descr="image0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57400" y="66008250"/>
          <a:ext cx="84010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410</xdr:row>
      <xdr:rowOff>0</xdr:rowOff>
    </xdr:from>
    <xdr:to>
      <xdr:col>13</xdr:col>
      <xdr:colOff>190500</xdr:colOff>
      <xdr:row>428</xdr:row>
      <xdr:rowOff>104775</xdr:rowOff>
    </xdr:to>
    <xdr:pic>
      <xdr:nvPicPr>
        <xdr:cNvPr id="18" name="Picture 52" descr="image0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57400" y="70294500"/>
          <a:ext cx="70485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434</xdr:row>
      <xdr:rowOff>0</xdr:rowOff>
    </xdr:from>
    <xdr:to>
      <xdr:col>13</xdr:col>
      <xdr:colOff>180975</xdr:colOff>
      <xdr:row>453</xdr:row>
      <xdr:rowOff>123825</xdr:rowOff>
    </xdr:to>
    <xdr:pic>
      <xdr:nvPicPr>
        <xdr:cNvPr id="19" name="Picture 53" descr="image0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57400" y="74409300"/>
          <a:ext cx="70389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460</xdr:row>
      <xdr:rowOff>0</xdr:rowOff>
    </xdr:from>
    <xdr:to>
      <xdr:col>13</xdr:col>
      <xdr:colOff>666750</xdr:colOff>
      <xdr:row>475</xdr:row>
      <xdr:rowOff>0</xdr:rowOff>
    </xdr:to>
    <xdr:pic>
      <xdr:nvPicPr>
        <xdr:cNvPr id="20" name="Picture 54" descr="image0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0" y="78867000"/>
          <a:ext cx="61531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480</xdr:row>
      <xdr:rowOff>0</xdr:rowOff>
    </xdr:from>
    <xdr:to>
      <xdr:col>17</xdr:col>
      <xdr:colOff>466725</xdr:colOff>
      <xdr:row>498</xdr:row>
      <xdr:rowOff>95250</xdr:rowOff>
    </xdr:to>
    <xdr:pic>
      <xdr:nvPicPr>
        <xdr:cNvPr id="21" name="Picture 55" descr="image00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0" y="82296000"/>
          <a:ext cx="86963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506</xdr:row>
      <xdr:rowOff>0</xdr:rowOff>
    </xdr:from>
    <xdr:to>
      <xdr:col>18</xdr:col>
      <xdr:colOff>342900</xdr:colOff>
      <xdr:row>526</xdr:row>
      <xdr:rowOff>9525</xdr:rowOff>
    </xdr:to>
    <xdr:pic>
      <xdr:nvPicPr>
        <xdr:cNvPr id="22" name="Picture 56" descr="image0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0" y="86753700"/>
          <a:ext cx="92583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532</xdr:row>
      <xdr:rowOff>0</xdr:rowOff>
    </xdr:from>
    <xdr:to>
      <xdr:col>13</xdr:col>
      <xdr:colOff>66675</xdr:colOff>
      <xdr:row>553</xdr:row>
      <xdr:rowOff>47625</xdr:rowOff>
    </xdr:to>
    <xdr:pic>
      <xdr:nvPicPr>
        <xdr:cNvPr id="23" name="Picture 57" descr="image00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0" y="91211400"/>
          <a:ext cx="555307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2" t="s">
        <v>0</v>
      </c>
      <c r="E1" s="233"/>
      <c r="F1" s="234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5">
        <v>500000</v>
      </c>
      <c r="E2" s="235"/>
      <c r="F2" s="235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6">
        <f>SUM(D2+F36)</f>
        <v>500000</v>
      </c>
      <c r="E3" s="236"/>
      <c r="F3" s="237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8" t="s">
        <v>87</v>
      </c>
      <c r="B36" s="239"/>
      <c r="C36" s="240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2:U534"/>
  <sheetViews>
    <sheetView tabSelected="1" zoomScalePageLayoutView="0" workbookViewId="0" topLeftCell="F531">
      <selection activeCell="S543" sqref="S543"/>
    </sheetView>
  </sheetViews>
  <sheetFormatPr defaultColWidth="9.00390625" defaultRowHeight="13.5"/>
  <sheetData>
    <row r="2" spans="10:12" ht="13.5">
      <c r="J2">
        <v>1</v>
      </c>
      <c r="K2" t="s">
        <v>122</v>
      </c>
      <c r="L2" t="s">
        <v>123</v>
      </c>
    </row>
    <row r="3" ht="13.5">
      <c r="K3" t="s">
        <v>124</v>
      </c>
    </row>
    <row r="28" spans="12:14" ht="13.5">
      <c r="L28">
        <v>2</v>
      </c>
      <c r="M28" t="s">
        <v>122</v>
      </c>
      <c r="N28" t="s">
        <v>123</v>
      </c>
    </row>
    <row r="29" ht="13.5">
      <c r="M29" t="s">
        <v>124</v>
      </c>
    </row>
    <row r="53" spans="12:14" ht="13.5">
      <c r="L53">
        <v>3</v>
      </c>
      <c r="M53" t="s">
        <v>122</v>
      </c>
      <c r="N53" t="s">
        <v>123</v>
      </c>
    </row>
    <row r="54" ht="13.5">
      <c r="M54" t="s">
        <v>124</v>
      </c>
    </row>
    <row r="78" spans="19:21" ht="13.5">
      <c r="S78">
        <v>4</v>
      </c>
      <c r="T78" t="s">
        <v>122</v>
      </c>
      <c r="U78" t="s">
        <v>123</v>
      </c>
    </row>
    <row r="79" ht="13.5">
      <c r="T79" t="s">
        <v>124</v>
      </c>
    </row>
    <row r="108" spans="11:13" ht="13.5">
      <c r="K108">
        <v>5</v>
      </c>
      <c r="L108" t="s">
        <v>122</v>
      </c>
      <c r="M108" t="s">
        <v>123</v>
      </c>
    </row>
    <row r="109" ht="13.5">
      <c r="L109" t="s">
        <v>124</v>
      </c>
    </row>
    <row r="130" spans="11:13" ht="13.5">
      <c r="K130">
        <v>6</v>
      </c>
      <c r="L130" t="s">
        <v>122</v>
      </c>
      <c r="M130" t="s">
        <v>123</v>
      </c>
    </row>
    <row r="131" ht="13.5">
      <c r="L131" t="s">
        <v>124</v>
      </c>
    </row>
    <row r="151" spans="14:16" ht="13.5">
      <c r="N151">
        <v>7</v>
      </c>
      <c r="O151" t="s">
        <v>122</v>
      </c>
      <c r="P151" t="s">
        <v>123</v>
      </c>
    </row>
    <row r="152" ht="13.5">
      <c r="O152" t="s">
        <v>124</v>
      </c>
    </row>
    <row r="169" spans="14:16" ht="13.5">
      <c r="N169">
        <v>8</v>
      </c>
      <c r="O169" t="s">
        <v>122</v>
      </c>
      <c r="P169" t="s">
        <v>123</v>
      </c>
    </row>
    <row r="170" ht="13.5">
      <c r="O170" t="s">
        <v>124</v>
      </c>
    </row>
    <row r="195" spans="14:15" ht="13.5">
      <c r="N195">
        <v>11</v>
      </c>
      <c r="O195" t="s">
        <v>126</v>
      </c>
    </row>
    <row r="196" ht="13.5">
      <c r="O196" t="s">
        <v>127</v>
      </c>
    </row>
    <row r="217" spans="14:16" ht="13.5">
      <c r="N217">
        <v>12</v>
      </c>
      <c r="O217" t="s">
        <v>122</v>
      </c>
      <c r="P217" t="s">
        <v>123</v>
      </c>
    </row>
    <row r="218" ht="13.5">
      <c r="O218" t="s">
        <v>124</v>
      </c>
    </row>
    <row r="241" spans="14:16" ht="13.5">
      <c r="N241">
        <v>13</v>
      </c>
      <c r="O241" t="s">
        <v>122</v>
      </c>
      <c r="P241" t="s">
        <v>123</v>
      </c>
    </row>
    <row r="242" ht="13.5">
      <c r="O242" t="s">
        <v>124</v>
      </c>
    </row>
    <row r="264" spans="14:16" ht="13.5">
      <c r="N264">
        <v>14</v>
      </c>
      <c r="O264" t="s">
        <v>122</v>
      </c>
      <c r="P264" t="s">
        <v>123</v>
      </c>
    </row>
    <row r="265" ht="13.5">
      <c r="O265" t="s">
        <v>124</v>
      </c>
    </row>
    <row r="285" spans="15:16" ht="13.5">
      <c r="O285">
        <v>15</v>
      </c>
      <c r="P285" t="s">
        <v>126</v>
      </c>
    </row>
    <row r="286" ht="13.5">
      <c r="P286" t="s">
        <v>127</v>
      </c>
    </row>
    <row r="313" spans="18:19" ht="13.5">
      <c r="R313">
        <v>16</v>
      </c>
      <c r="S313" t="s">
        <v>128</v>
      </c>
    </row>
    <row r="314" ht="13.5">
      <c r="S314" t="s">
        <v>129</v>
      </c>
    </row>
    <row r="335" spans="17:18" ht="13.5">
      <c r="Q335">
        <v>17</v>
      </c>
      <c r="R335" t="s">
        <v>126</v>
      </c>
    </row>
    <row r="336" ht="13.5">
      <c r="R336" t="s">
        <v>127</v>
      </c>
    </row>
    <row r="361" spans="16:17" ht="13.5">
      <c r="P361">
        <v>18</v>
      </c>
      <c r="Q361" t="s">
        <v>126</v>
      </c>
    </row>
    <row r="362" ht="13.5">
      <c r="Q362" t="s">
        <v>127</v>
      </c>
    </row>
    <row r="386" spans="17:18" ht="13.5">
      <c r="Q386">
        <v>19</v>
      </c>
      <c r="R386" t="s">
        <v>126</v>
      </c>
    </row>
    <row r="387" ht="13.5">
      <c r="R387" t="s">
        <v>127</v>
      </c>
    </row>
    <row r="411" spans="17:18" ht="13.5">
      <c r="Q411">
        <v>20</v>
      </c>
      <c r="R411" t="s">
        <v>128</v>
      </c>
    </row>
    <row r="412" ht="13.5">
      <c r="R412" t="s">
        <v>130</v>
      </c>
    </row>
    <row r="435" spans="16:17" ht="13.5">
      <c r="P435">
        <v>21</v>
      </c>
      <c r="Q435" t="s">
        <v>131</v>
      </c>
    </row>
    <row r="436" ht="13.5">
      <c r="Q436" t="s">
        <v>124</v>
      </c>
    </row>
    <row r="439" ht="13.5">
      <c r="Q439" t="s">
        <v>132</v>
      </c>
    </row>
    <row r="440" ht="13.5">
      <c r="Q440" t="s">
        <v>133</v>
      </c>
    </row>
    <row r="461" spans="17:19" ht="13.5">
      <c r="Q461">
        <v>22</v>
      </c>
      <c r="R461" t="s">
        <v>122</v>
      </c>
      <c r="S461" t="s">
        <v>123</v>
      </c>
    </row>
    <row r="462" ht="13.5">
      <c r="R462" t="s">
        <v>124</v>
      </c>
    </row>
    <row r="481" spans="19:20" ht="13.5">
      <c r="S481">
        <v>23</v>
      </c>
      <c r="T481" t="s">
        <v>126</v>
      </c>
    </row>
    <row r="482" ht="13.5">
      <c r="T482" t="s">
        <v>127</v>
      </c>
    </row>
    <row r="506" spans="20:21" ht="13.5">
      <c r="T506">
        <v>24</v>
      </c>
      <c r="U506" t="s">
        <v>126</v>
      </c>
    </row>
    <row r="507" ht="13.5">
      <c r="U507" t="s">
        <v>127</v>
      </c>
    </row>
    <row r="533" spans="16:18" ht="13.5">
      <c r="P533">
        <v>25</v>
      </c>
      <c r="Q533" t="s">
        <v>122</v>
      </c>
      <c r="R533" t="s">
        <v>123</v>
      </c>
    </row>
    <row r="534" ht="13.5">
      <c r="Q534" t="s">
        <v>124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2"/>
      <c r="Q3" s="243"/>
      <c r="R3" s="243"/>
      <c r="S3" s="243"/>
      <c r="T3" s="243"/>
      <c r="U3" s="243"/>
      <c r="V3" s="243"/>
    </row>
    <row r="4" spans="1:22" ht="13.5">
      <c r="A4" s="154"/>
      <c r="B4" s="241"/>
      <c r="C4" s="241"/>
      <c r="D4" s="241"/>
      <c r="P4" s="243"/>
      <c r="Q4" s="243"/>
      <c r="R4" s="243"/>
      <c r="S4" s="243"/>
      <c r="T4" s="243"/>
      <c r="U4" s="243"/>
      <c r="V4" s="243"/>
    </row>
    <row r="5" spans="1:22" ht="13.5">
      <c r="A5" s="154"/>
      <c r="B5" s="241"/>
      <c r="C5" s="241"/>
      <c r="D5" s="241"/>
      <c r="P5" s="243"/>
      <c r="Q5" s="243"/>
      <c r="R5" s="243"/>
      <c r="S5" s="243"/>
      <c r="T5" s="243"/>
      <c r="U5" s="243"/>
      <c r="V5" s="243"/>
    </row>
    <row r="6" spans="1:22" ht="13.5">
      <c r="A6" s="155"/>
      <c r="B6" s="241"/>
      <c r="C6" s="241"/>
      <c r="D6" s="241"/>
      <c r="P6" s="243"/>
      <c r="Q6" s="243"/>
      <c r="R6" s="243"/>
      <c r="S6" s="243"/>
      <c r="T6" s="243"/>
      <c r="U6" s="243"/>
      <c r="V6" s="243"/>
    </row>
    <row r="7" spans="1:22" ht="13.5">
      <c r="A7" s="154"/>
      <c r="G7" s="156"/>
      <c r="P7" s="243"/>
      <c r="Q7" s="243"/>
      <c r="R7" s="243"/>
      <c r="S7" s="243"/>
      <c r="T7" s="243"/>
      <c r="U7" s="243"/>
      <c r="V7" s="243"/>
    </row>
    <row r="8" spans="1:22" ht="13.5">
      <c r="A8" s="154" t="s">
        <v>55</v>
      </c>
      <c r="P8" s="243"/>
      <c r="Q8" s="243"/>
      <c r="R8" s="243"/>
      <c r="S8" s="243"/>
      <c r="T8" s="243"/>
      <c r="U8" s="243"/>
      <c r="V8" s="243"/>
    </row>
    <row r="9" spans="16:22" ht="8.25" customHeight="1">
      <c r="P9" s="243"/>
      <c r="Q9" s="243"/>
      <c r="R9" s="243"/>
      <c r="S9" s="243"/>
      <c r="T9" s="243"/>
      <c r="U9" s="243"/>
      <c r="V9" s="243"/>
    </row>
    <row r="10" spans="2:22" ht="14.25">
      <c r="B10" s="150" t="s">
        <v>92</v>
      </c>
      <c r="P10" s="243"/>
      <c r="Q10" s="243"/>
      <c r="R10" s="243"/>
      <c r="S10" s="243"/>
      <c r="T10" s="243"/>
      <c r="U10" s="243"/>
      <c r="V10" s="243"/>
    </row>
    <row r="11" spans="16:22" ht="13.5">
      <c r="P11" s="243"/>
      <c r="Q11" s="243"/>
      <c r="R11" s="243"/>
      <c r="S11" s="243"/>
      <c r="T11" s="243"/>
      <c r="U11" s="243"/>
      <c r="V11" s="243"/>
    </row>
    <row r="12" spans="16:22" ht="13.5">
      <c r="P12" s="243"/>
      <c r="Q12" s="243"/>
      <c r="R12" s="243"/>
      <c r="S12" s="243"/>
      <c r="T12" s="243"/>
      <c r="U12" s="243"/>
      <c r="V12" s="243"/>
    </row>
    <row r="13" spans="16:22" ht="13.5">
      <c r="P13" s="243"/>
      <c r="Q13" s="243"/>
      <c r="R13" s="243"/>
      <c r="S13" s="243"/>
      <c r="T13" s="243"/>
      <c r="U13" s="243"/>
      <c r="V13" s="243"/>
    </row>
    <row r="14" spans="16:22" ht="13.5">
      <c r="P14" s="243"/>
      <c r="Q14" s="243"/>
      <c r="R14" s="243"/>
      <c r="S14" s="243"/>
      <c r="T14" s="243"/>
      <c r="U14" s="243"/>
      <c r="V14" s="243"/>
    </row>
    <row r="15" spans="16:22" ht="13.5">
      <c r="P15" s="243"/>
      <c r="Q15" s="243"/>
      <c r="R15" s="243"/>
      <c r="S15" s="243"/>
      <c r="T15" s="243"/>
      <c r="U15" s="243"/>
      <c r="V15" s="243"/>
    </row>
    <row r="16" spans="16:22" ht="13.5">
      <c r="P16" s="243"/>
      <c r="Q16" s="243"/>
      <c r="R16" s="243"/>
      <c r="S16" s="243"/>
      <c r="T16" s="243"/>
      <c r="U16" s="243"/>
      <c r="V16" s="243"/>
    </row>
    <row r="17" spans="16:22" ht="13.5">
      <c r="P17" s="243"/>
      <c r="Q17" s="243"/>
      <c r="R17" s="243"/>
      <c r="S17" s="243"/>
      <c r="T17" s="243"/>
      <c r="U17" s="243"/>
      <c r="V17" s="243"/>
    </row>
    <row r="18" spans="16:22" ht="13.5">
      <c r="P18" s="243"/>
      <c r="Q18" s="243"/>
      <c r="R18" s="243"/>
      <c r="S18" s="243"/>
      <c r="T18" s="243"/>
      <c r="U18" s="243"/>
      <c r="V18" s="243"/>
    </row>
    <row r="19" spans="16:22" ht="13.5">
      <c r="P19" s="243"/>
      <c r="Q19" s="243"/>
      <c r="R19" s="243"/>
      <c r="S19" s="243"/>
      <c r="T19" s="243"/>
      <c r="U19" s="243"/>
      <c r="V19" s="243"/>
    </row>
    <row r="20" spans="2:22" ht="14.25">
      <c r="B20" s="150" t="s">
        <v>93</v>
      </c>
      <c r="P20" s="243"/>
      <c r="Q20" s="243"/>
      <c r="R20" s="243"/>
      <c r="S20" s="243"/>
      <c r="T20" s="243"/>
      <c r="U20" s="243"/>
      <c r="V20" s="243"/>
    </row>
    <row r="21" spans="16:22" ht="13.5">
      <c r="P21" s="243"/>
      <c r="Q21" s="243"/>
      <c r="R21" s="243"/>
      <c r="S21" s="243"/>
      <c r="T21" s="243"/>
      <c r="U21" s="243"/>
      <c r="V21" s="243"/>
    </row>
    <row r="22" spans="16:22" ht="13.5">
      <c r="P22" s="243"/>
      <c r="Q22" s="243"/>
      <c r="R22" s="243"/>
      <c r="S22" s="243"/>
      <c r="T22" s="243"/>
      <c r="U22" s="243"/>
      <c r="V22" s="243"/>
    </row>
    <row r="23" spans="16:22" ht="13.5">
      <c r="P23" s="243"/>
      <c r="Q23" s="243"/>
      <c r="R23" s="243"/>
      <c r="S23" s="243"/>
      <c r="T23" s="243"/>
      <c r="U23" s="243"/>
      <c r="V23" s="243"/>
    </row>
    <row r="24" spans="16:22" ht="13.5">
      <c r="P24" s="243"/>
      <c r="Q24" s="243"/>
      <c r="R24" s="243"/>
      <c r="S24" s="243"/>
      <c r="T24" s="243"/>
      <c r="U24" s="243"/>
      <c r="V24" s="243"/>
    </row>
    <row r="25" spans="2:22" ht="14.25">
      <c r="B25" s="150" t="s">
        <v>94</v>
      </c>
      <c r="P25" s="243"/>
      <c r="Q25" s="243"/>
      <c r="R25" s="243"/>
      <c r="S25" s="243"/>
      <c r="T25" s="243"/>
      <c r="U25" s="243"/>
      <c r="V25" s="243"/>
    </row>
    <row r="26" spans="16:22" ht="13.5">
      <c r="P26" s="243"/>
      <c r="Q26" s="243"/>
      <c r="R26" s="243"/>
      <c r="S26" s="243"/>
      <c r="T26" s="243"/>
      <c r="U26" s="243"/>
      <c r="V26" s="243"/>
    </row>
    <row r="27" spans="16:22" ht="13.5">
      <c r="P27" s="243"/>
      <c r="Q27" s="243"/>
      <c r="R27" s="243"/>
      <c r="S27" s="243"/>
      <c r="T27" s="243"/>
      <c r="U27" s="243"/>
      <c r="V27" s="243"/>
    </row>
    <row r="28" spans="16:22" ht="13.5">
      <c r="P28" s="243"/>
      <c r="Q28" s="243"/>
      <c r="R28" s="243"/>
      <c r="S28" s="243"/>
      <c r="T28" s="243"/>
      <c r="U28" s="243"/>
      <c r="V28" s="243"/>
    </row>
    <row r="29" spans="16:22" ht="13.5">
      <c r="P29" s="243"/>
      <c r="Q29" s="243"/>
      <c r="R29" s="243"/>
      <c r="S29" s="243"/>
      <c r="T29" s="243"/>
      <c r="U29" s="243"/>
      <c r="V29" s="243"/>
    </row>
    <row r="30" spans="16:22" ht="13.5">
      <c r="P30" s="243"/>
      <c r="Q30" s="243"/>
      <c r="R30" s="243"/>
      <c r="S30" s="243"/>
      <c r="T30" s="243"/>
      <c r="U30" s="243"/>
      <c r="V30" s="243"/>
    </row>
    <row r="31" spans="16:22" ht="13.5">
      <c r="P31" s="243"/>
      <c r="Q31" s="243"/>
      <c r="R31" s="243"/>
      <c r="S31" s="243"/>
      <c r="T31" s="243"/>
      <c r="U31" s="243"/>
      <c r="V31" s="243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5" sqref="M5:P5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71" t="s">
        <v>60</v>
      </c>
      <c r="B2" s="271"/>
      <c r="C2" s="272">
        <f>I2+V125</f>
        <v>539844</v>
      </c>
      <c r="D2" s="272"/>
      <c r="E2" s="272"/>
      <c r="F2" s="272"/>
      <c r="G2" s="271" t="s">
        <v>61</v>
      </c>
      <c r="H2" s="271"/>
      <c r="I2" s="19">
        <v>500000</v>
      </c>
      <c r="J2" s="20" t="s">
        <v>62</v>
      </c>
      <c r="K2" s="214">
        <v>0.2</v>
      </c>
      <c r="N2" s="216"/>
      <c r="O2" s="215" t="s">
        <v>109</v>
      </c>
      <c r="U2" s="18"/>
      <c r="V2" s="18"/>
      <c r="W2" s="18"/>
      <c r="AU2" s="21">
        <f>I2-I2*K2</f>
        <v>400000</v>
      </c>
    </row>
    <row r="3" spans="1:23" ht="21" customHeight="1">
      <c r="A3" s="271" t="s">
        <v>63</v>
      </c>
      <c r="B3" s="271"/>
      <c r="C3" s="273">
        <v>17</v>
      </c>
      <c r="D3" s="273"/>
      <c r="E3" s="273"/>
      <c r="F3" s="273"/>
      <c r="G3" s="274">
        <f>IF(C2&lt;AU2,"警告！！資金不足！！","")</f>
      </c>
      <c r="H3" s="274"/>
      <c r="I3" s="274"/>
      <c r="J3" s="274"/>
      <c r="K3" s="274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1" t="s">
        <v>21</v>
      </c>
      <c r="E4" s="262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500000</v>
      </c>
      <c r="C5" s="204">
        <v>0.02</v>
      </c>
      <c r="D5" s="34" t="s">
        <v>81</v>
      </c>
      <c r="E5" s="35" t="s">
        <v>74</v>
      </c>
      <c r="F5" s="36" t="s">
        <v>103</v>
      </c>
      <c r="G5" s="36" t="s">
        <v>108</v>
      </c>
      <c r="H5" s="36" t="s">
        <v>102</v>
      </c>
      <c r="I5" s="37">
        <v>40196</v>
      </c>
      <c r="J5" s="38">
        <v>83.631</v>
      </c>
      <c r="K5" s="38">
        <v>85.024</v>
      </c>
      <c r="L5" s="39">
        <f aca="true" t="shared" si="0" ref="L5:L68">IF(H5="","",IF(H5="買い",J5+$C$3*VLOOKUP(E5,$X$5:$AA$23,3,FALSE),J5-$C$3*VLOOKUP(E5,$X$5:$AA$23,3,FALSE)))</f>
        <v>83.461</v>
      </c>
      <c r="M5" s="36" t="s">
        <v>108</v>
      </c>
      <c r="N5" s="40">
        <v>40218</v>
      </c>
      <c r="O5" s="41">
        <v>77.939</v>
      </c>
      <c r="P5" s="42" t="s">
        <v>105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139.30000000000007</v>
      </c>
      <c r="S5" s="45">
        <f aca="true" t="shared" si="3" ref="S5:S68">IF(K5="",0,ROUNDDOWN((B5*C5)/(VLOOKUP(E5,$X$5:$AA$23,4,FALSE)*R5),-3))</f>
        <v>7000</v>
      </c>
      <c r="T5" s="46">
        <f aca="true" t="shared" si="4" ref="T5:T68">IF(Q5="勝ち",IF(H5="買い",(O5-J5)/VLOOKUP(E5,$X$5:$AA$23,3,FALSE),(J5-O5)/VLOOKUP(E5,$X$5:$AA$23,3,FALSE)),0)</f>
        <v>569.2000000000007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39844.00000000005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/>
      <c r="C6" s="204"/>
      <c r="D6" s="34"/>
      <c r="E6" s="35"/>
      <c r="F6" s="36"/>
      <c r="G6" s="36"/>
      <c r="H6" s="36"/>
      <c r="I6" s="37"/>
      <c r="J6" s="38"/>
      <c r="K6" s="38"/>
      <c r="L6" s="39">
        <f t="shared" si="0"/>
      </c>
      <c r="M6" s="36"/>
      <c r="N6" s="37"/>
      <c r="O6" s="38"/>
      <c r="P6" s="53"/>
      <c r="Q6" s="43">
        <f t="shared" si="1"/>
      </c>
      <c r="R6" s="44">
        <f t="shared" si="2"/>
        <v>0</v>
      </c>
      <c r="S6" s="45">
        <f t="shared" si="3"/>
        <v>0</v>
      </c>
      <c r="T6" s="46">
        <f t="shared" si="4"/>
        <v>0</v>
      </c>
      <c r="U6" s="47">
        <f t="shared" si="5"/>
        <v>0</v>
      </c>
      <c r="V6" s="48">
        <f t="shared" si="6"/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/>
      <c r="C7" s="204"/>
      <c r="D7" s="34"/>
      <c r="E7" s="35"/>
      <c r="F7" s="36"/>
      <c r="G7" s="36"/>
      <c r="H7" s="36"/>
      <c r="I7" s="37"/>
      <c r="J7" s="38"/>
      <c r="K7" s="38"/>
      <c r="L7" s="39">
        <f t="shared" si="0"/>
      </c>
      <c r="M7" s="36"/>
      <c r="N7" s="37"/>
      <c r="O7" s="38"/>
      <c r="P7" s="53"/>
      <c r="Q7" s="43">
        <f t="shared" si="1"/>
      </c>
      <c r="R7" s="44">
        <f t="shared" si="2"/>
        <v>0</v>
      </c>
      <c r="S7" s="45">
        <f t="shared" si="3"/>
        <v>0</v>
      </c>
      <c r="T7" s="46">
        <f t="shared" si="4"/>
        <v>0</v>
      </c>
      <c r="U7" s="47">
        <f t="shared" si="5"/>
        <v>0</v>
      </c>
      <c r="V7" s="48">
        <f t="shared" si="6"/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/>
      <c r="C8" s="204"/>
      <c r="D8" s="34"/>
      <c r="E8" s="35"/>
      <c r="F8" s="36"/>
      <c r="G8" s="36"/>
      <c r="H8" s="36"/>
      <c r="I8" s="37"/>
      <c r="J8" s="38"/>
      <c r="K8" s="38"/>
      <c r="L8" s="39">
        <f t="shared" si="0"/>
      </c>
      <c r="M8" s="36"/>
      <c r="N8" s="37"/>
      <c r="O8" s="38"/>
      <c r="P8" s="53"/>
      <c r="Q8" s="43">
        <f t="shared" si="1"/>
      </c>
      <c r="R8" s="44">
        <f t="shared" si="2"/>
        <v>0</v>
      </c>
      <c r="S8" s="45">
        <f t="shared" si="3"/>
        <v>0</v>
      </c>
      <c r="T8" s="46">
        <f t="shared" si="4"/>
        <v>0</v>
      </c>
      <c r="U8" s="47">
        <f t="shared" si="5"/>
        <v>0</v>
      </c>
      <c r="V8" s="48">
        <f t="shared" si="6"/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/>
      <c r="C9" s="204"/>
      <c r="D9" s="34"/>
      <c r="E9" s="35"/>
      <c r="F9" s="36"/>
      <c r="G9" s="36"/>
      <c r="H9" s="36"/>
      <c r="I9" s="37"/>
      <c r="J9" s="38"/>
      <c r="K9" s="38"/>
      <c r="L9" s="39">
        <f t="shared" si="0"/>
      </c>
      <c r="M9" s="36"/>
      <c r="N9" s="37"/>
      <c r="O9" s="38"/>
      <c r="P9" s="53"/>
      <c r="Q9" s="43">
        <f t="shared" si="1"/>
      </c>
      <c r="R9" s="44">
        <f t="shared" si="2"/>
        <v>0</v>
      </c>
      <c r="S9" s="45">
        <f t="shared" si="3"/>
        <v>0</v>
      </c>
      <c r="T9" s="46">
        <f t="shared" si="4"/>
        <v>0</v>
      </c>
      <c r="U9" s="47">
        <f t="shared" si="5"/>
        <v>0</v>
      </c>
      <c r="V9" s="48">
        <f t="shared" si="6"/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/>
      <c r="C10" s="204"/>
      <c r="D10" s="34"/>
      <c r="E10" s="35"/>
      <c r="F10" s="36"/>
      <c r="G10" s="36"/>
      <c r="H10" s="36"/>
      <c r="I10" s="37"/>
      <c r="J10" s="38"/>
      <c r="K10" s="38"/>
      <c r="L10" s="39">
        <f t="shared" si="0"/>
      </c>
      <c r="M10" s="36"/>
      <c r="N10" s="37"/>
      <c r="O10" s="38"/>
      <c r="P10" s="53"/>
      <c r="Q10" s="43">
        <f t="shared" si="1"/>
      </c>
      <c r="R10" s="44">
        <f t="shared" si="2"/>
        <v>0</v>
      </c>
      <c r="S10" s="45">
        <f t="shared" si="3"/>
        <v>0</v>
      </c>
      <c r="T10" s="46">
        <f t="shared" si="4"/>
        <v>0</v>
      </c>
      <c r="U10" s="47">
        <f t="shared" si="5"/>
        <v>0</v>
      </c>
      <c r="V10" s="48">
        <f t="shared" si="6"/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/>
      <c r="C11" s="204"/>
      <c r="D11" s="34"/>
      <c r="E11" s="35"/>
      <c r="F11" s="36"/>
      <c r="G11" s="36"/>
      <c r="H11" s="36"/>
      <c r="I11" s="37"/>
      <c r="J11" s="38"/>
      <c r="K11" s="38"/>
      <c r="L11" s="39">
        <f t="shared" si="0"/>
      </c>
      <c r="M11" s="36"/>
      <c r="N11" s="37"/>
      <c r="O11" s="38"/>
      <c r="P11" s="53"/>
      <c r="Q11" s="43">
        <f t="shared" si="1"/>
      </c>
      <c r="R11" s="44">
        <f t="shared" si="2"/>
        <v>0</v>
      </c>
      <c r="S11" s="45">
        <f t="shared" si="3"/>
        <v>0</v>
      </c>
      <c r="T11" s="46">
        <f t="shared" si="4"/>
        <v>0</v>
      </c>
      <c r="U11" s="47">
        <f t="shared" si="5"/>
        <v>0</v>
      </c>
      <c r="V11" s="48">
        <f t="shared" si="6"/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/>
      <c r="C12" s="204"/>
      <c r="D12" s="34"/>
      <c r="E12" s="35"/>
      <c r="F12" s="36"/>
      <c r="G12" s="36"/>
      <c r="H12" s="36"/>
      <c r="I12" s="37"/>
      <c r="J12" s="38"/>
      <c r="K12" s="38"/>
      <c r="L12" s="39">
        <f t="shared" si="0"/>
      </c>
      <c r="M12" s="36"/>
      <c r="N12" s="37"/>
      <c r="O12" s="38"/>
      <c r="P12" s="53"/>
      <c r="Q12" s="43">
        <f t="shared" si="1"/>
      </c>
      <c r="R12" s="44">
        <f t="shared" si="2"/>
        <v>0</v>
      </c>
      <c r="S12" s="45">
        <f t="shared" si="3"/>
        <v>0</v>
      </c>
      <c r="T12" s="46">
        <f t="shared" si="4"/>
        <v>0</v>
      </c>
      <c r="U12" s="47">
        <f t="shared" si="5"/>
        <v>0</v>
      </c>
      <c r="V12" s="48">
        <f t="shared" si="6"/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/>
      <c r="C13" s="204"/>
      <c r="D13" s="34"/>
      <c r="E13" s="35"/>
      <c r="F13" s="36"/>
      <c r="G13" s="36"/>
      <c r="H13" s="36"/>
      <c r="I13" s="37"/>
      <c r="J13" s="38"/>
      <c r="K13" s="38"/>
      <c r="L13" s="39">
        <f t="shared" si="0"/>
      </c>
      <c r="M13" s="36"/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4"/>
        <v>0</v>
      </c>
      <c r="U13" s="47">
        <f t="shared" si="5"/>
        <v>0</v>
      </c>
      <c r="V13" s="48">
        <f t="shared" si="6"/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/>
      <c r="C14" s="204"/>
      <c r="D14" s="34"/>
      <c r="E14" s="35"/>
      <c r="F14" s="36"/>
      <c r="G14" s="36"/>
      <c r="H14" s="36"/>
      <c r="I14" s="37"/>
      <c r="J14" s="38"/>
      <c r="K14" s="38"/>
      <c r="L14" s="39">
        <f t="shared" si="0"/>
      </c>
      <c r="M14" s="36"/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4"/>
        <v>0</v>
      </c>
      <c r="U14" s="47">
        <f t="shared" si="5"/>
        <v>0</v>
      </c>
      <c r="V14" s="48">
        <f t="shared" si="6"/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/>
      <c r="C15" s="204"/>
      <c r="D15" s="34"/>
      <c r="E15" s="35"/>
      <c r="F15" s="36"/>
      <c r="G15" s="36"/>
      <c r="H15" s="36"/>
      <c r="I15" s="37"/>
      <c r="J15" s="38"/>
      <c r="K15" s="38"/>
      <c r="L15" s="39">
        <f t="shared" si="0"/>
      </c>
      <c r="M15" s="36"/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4"/>
        <v>0</v>
      </c>
      <c r="U15" s="47">
        <f t="shared" si="5"/>
        <v>0</v>
      </c>
      <c r="V15" s="48">
        <f t="shared" si="6"/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/>
      <c r="C16" s="204"/>
      <c r="D16" s="34"/>
      <c r="E16" s="35"/>
      <c r="F16" s="36"/>
      <c r="G16" s="36"/>
      <c r="H16" s="36"/>
      <c r="I16" s="37"/>
      <c r="J16" s="38"/>
      <c r="K16" s="38"/>
      <c r="L16" s="39">
        <f t="shared" si="0"/>
      </c>
      <c r="M16" s="36"/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4"/>
        <v>0</v>
      </c>
      <c r="U16" s="47">
        <f t="shared" si="5"/>
        <v>0</v>
      </c>
      <c r="V16" s="48">
        <f t="shared" si="6"/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/>
      <c r="C17" s="204"/>
      <c r="D17" s="34"/>
      <c r="E17" s="35"/>
      <c r="F17" s="36"/>
      <c r="G17" s="36"/>
      <c r="H17" s="36"/>
      <c r="I17" s="37"/>
      <c r="J17" s="38"/>
      <c r="K17" s="38"/>
      <c r="L17" s="39">
        <f t="shared" si="0"/>
      </c>
      <c r="M17" s="36"/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4"/>
        <v>0</v>
      </c>
      <c r="U17" s="47">
        <f t="shared" si="5"/>
        <v>0</v>
      </c>
      <c r="V17" s="48">
        <f t="shared" si="6"/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/>
      <c r="C18" s="204"/>
      <c r="D18" s="34"/>
      <c r="E18" s="35"/>
      <c r="F18" s="36"/>
      <c r="G18" s="36"/>
      <c r="H18" s="36"/>
      <c r="I18" s="37"/>
      <c r="J18" s="38"/>
      <c r="K18" s="38"/>
      <c r="L18" s="39">
        <f t="shared" si="0"/>
      </c>
      <c r="M18" s="36"/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4"/>
        <v>0</v>
      </c>
      <c r="U18" s="47">
        <f t="shared" si="5"/>
        <v>0</v>
      </c>
      <c r="V18" s="48">
        <f t="shared" si="6"/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/>
      <c r="C19" s="204"/>
      <c r="D19" s="34"/>
      <c r="E19" s="35"/>
      <c r="F19" s="36"/>
      <c r="G19" s="36"/>
      <c r="H19" s="36"/>
      <c r="I19" s="37"/>
      <c r="J19" s="38"/>
      <c r="K19" s="38"/>
      <c r="L19" s="39">
        <f t="shared" si="0"/>
      </c>
      <c r="M19" s="36"/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4"/>
        <v>0</v>
      </c>
      <c r="U19" s="47">
        <f t="shared" si="5"/>
        <v>0</v>
      </c>
      <c r="V19" s="48">
        <f t="shared" si="6"/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/>
      <c r="C20" s="204"/>
      <c r="D20" s="34"/>
      <c r="E20" s="35"/>
      <c r="F20" s="36"/>
      <c r="G20" s="36"/>
      <c r="H20" s="36"/>
      <c r="I20" s="37"/>
      <c r="J20" s="38"/>
      <c r="K20" s="38"/>
      <c r="L20" s="39">
        <f t="shared" si="0"/>
      </c>
      <c r="M20" s="36"/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4"/>
        <v>0</v>
      </c>
      <c r="U20" s="47">
        <f t="shared" si="5"/>
        <v>0</v>
      </c>
      <c r="V20" s="48">
        <f t="shared" si="6"/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/>
      <c r="C21" s="204"/>
      <c r="D21" s="34"/>
      <c r="E21" s="35"/>
      <c r="F21" s="36"/>
      <c r="G21" s="36"/>
      <c r="H21" s="36"/>
      <c r="I21" s="37"/>
      <c r="J21" s="38"/>
      <c r="K21" s="38"/>
      <c r="L21" s="39">
        <f t="shared" si="0"/>
      </c>
      <c r="M21" s="36"/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4"/>
        <v>0</v>
      </c>
      <c r="U21" s="47">
        <f t="shared" si="5"/>
        <v>0</v>
      </c>
      <c r="V21" s="48">
        <f t="shared" si="6"/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/>
      <c r="C22" s="204"/>
      <c r="D22" s="34"/>
      <c r="E22" s="35"/>
      <c r="F22" s="36"/>
      <c r="G22" s="36"/>
      <c r="H22" s="36"/>
      <c r="I22" s="37"/>
      <c r="J22" s="38"/>
      <c r="K22" s="38"/>
      <c r="L22" s="39">
        <f t="shared" si="0"/>
      </c>
      <c r="M22" s="36"/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4"/>
        <v>0</v>
      </c>
      <c r="U22" s="47">
        <f t="shared" si="5"/>
        <v>0</v>
      </c>
      <c r="V22" s="48">
        <f t="shared" si="6"/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/>
      <c r="C23" s="204"/>
      <c r="D23" s="34"/>
      <c r="E23" s="35"/>
      <c r="F23" s="36"/>
      <c r="G23" s="36"/>
      <c r="H23" s="36"/>
      <c r="I23" s="37"/>
      <c r="J23" s="38"/>
      <c r="K23" s="38"/>
      <c r="L23" s="39">
        <f t="shared" si="0"/>
      </c>
      <c r="M23" s="36"/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4"/>
        <v>0</v>
      </c>
      <c r="U23" s="47">
        <f t="shared" si="5"/>
        <v>0</v>
      </c>
      <c r="V23" s="48">
        <f t="shared" si="6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/>
      <c r="C24" s="204"/>
      <c r="D24" s="34"/>
      <c r="E24" s="35"/>
      <c r="F24" s="36"/>
      <c r="G24" s="36"/>
      <c r="H24" s="36"/>
      <c r="I24" s="37"/>
      <c r="J24" s="38"/>
      <c r="K24" s="38"/>
      <c r="L24" s="39">
        <f t="shared" si="0"/>
      </c>
      <c r="M24" s="36"/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4"/>
        <v>0</v>
      </c>
      <c r="U24" s="47">
        <f t="shared" si="5"/>
        <v>0</v>
      </c>
      <c r="V24" s="48">
        <f t="shared" si="6"/>
      </c>
    </row>
    <row r="25" spans="1:22" ht="13.5">
      <c r="A25" s="52">
        <v>21</v>
      </c>
      <c r="B25" s="226"/>
      <c r="C25" s="204"/>
      <c r="D25" s="34"/>
      <c r="E25" s="35"/>
      <c r="F25" s="36"/>
      <c r="G25" s="36"/>
      <c r="H25" s="36"/>
      <c r="I25" s="37"/>
      <c r="J25" s="38"/>
      <c r="K25" s="38"/>
      <c r="L25" s="39">
        <f t="shared" si="0"/>
      </c>
      <c r="M25" s="36"/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4"/>
        <v>0</v>
      </c>
      <c r="U25" s="47">
        <f t="shared" si="5"/>
        <v>0</v>
      </c>
      <c r="V25" s="48">
        <f t="shared" si="6"/>
      </c>
    </row>
    <row r="26" spans="1:22" ht="13.5">
      <c r="A26" s="52">
        <v>22</v>
      </c>
      <c r="B26" s="226"/>
      <c r="C26" s="204"/>
      <c r="D26" s="34"/>
      <c r="E26" s="35"/>
      <c r="F26" s="36"/>
      <c r="G26" s="36"/>
      <c r="H26" s="36"/>
      <c r="I26" s="37"/>
      <c r="J26" s="38"/>
      <c r="K26" s="38"/>
      <c r="L26" s="39">
        <f t="shared" si="0"/>
      </c>
      <c r="M26" s="36"/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4"/>
        <v>0</v>
      </c>
      <c r="U26" s="47">
        <f t="shared" si="5"/>
        <v>0</v>
      </c>
      <c r="V26" s="48">
        <f t="shared" si="6"/>
      </c>
    </row>
    <row r="27" spans="1:22" ht="13.5">
      <c r="A27" s="52">
        <v>23</v>
      </c>
      <c r="B27" s="226"/>
      <c r="C27" s="204"/>
      <c r="D27" s="34"/>
      <c r="E27" s="35"/>
      <c r="F27" s="36"/>
      <c r="G27" s="36"/>
      <c r="H27" s="36"/>
      <c r="I27" s="37"/>
      <c r="J27" s="38"/>
      <c r="K27" s="38"/>
      <c r="L27" s="39">
        <f t="shared" si="0"/>
      </c>
      <c r="M27" s="36"/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4"/>
        <v>0</v>
      </c>
      <c r="U27" s="47">
        <f t="shared" si="5"/>
        <v>0</v>
      </c>
      <c r="V27" s="48">
        <f t="shared" si="6"/>
      </c>
    </row>
    <row r="28" spans="1:22" ht="13.5">
      <c r="A28" s="52">
        <v>24</v>
      </c>
      <c r="B28" s="226"/>
      <c r="C28" s="204"/>
      <c r="D28" s="34"/>
      <c r="E28" s="35"/>
      <c r="F28" s="36"/>
      <c r="G28" s="36"/>
      <c r="H28" s="36"/>
      <c r="I28" s="37"/>
      <c r="J28" s="38"/>
      <c r="K28" s="38"/>
      <c r="L28" s="39">
        <f t="shared" si="0"/>
      </c>
      <c r="M28" s="36"/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4"/>
        <v>0</v>
      </c>
      <c r="U28" s="47">
        <f t="shared" si="5"/>
        <v>0</v>
      </c>
      <c r="V28" s="48">
        <f t="shared" si="6"/>
      </c>
    </row>
    <row r="29" spans="1:22" ht="13.5">
      <c r="A29" s="52">
        <v>25</v>
      </c>
      <c r="B29" s="226"/>
      <c r="C29" s="204"/>
      <c r="D29" s="34"/>
      <c r="E29" s="35"/>
      <c r="F29" s="36"/>
      <c r="G29" s="36"/>
      <c r="H29" s="36"/>
      <c r="I29" s="37"/>
      <c r="J29" s="38"/>
      <c r="K29" s="38"/>
      <c r="L29" s="39">
        <f t="shared" si="0"/>
      </c>
      <c r="M29" s="36"/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4"/>
        <v>0</v>
      </c>
      <c r="U29" s="47">
        <f t="shared" si="5"/>
        <v>0</v>
      </c>
      <c r="V29" s="48">
        <f t="shared" si="6"/>
      </c>
    </row>
    <row r="30" spans="1:22" ht="13.5">
      <c r="A30" s="52">
        <v>26</v>
      </c>
      <c r="B30" s="226"/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3">
        <f>SUM(T5:T124)+SUM(U5:U124)</f>
        <v>569.2000000000007</v>
      </c>
      <c r="U125" s="263"/>
      <c r="V125" s="77">
        <f>SUM(V5:V124)</f>
        <v>39844.00000000005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4" t="s">
        <v>34</v>
      </c>
      <c r="G128" s="265"/>
      <c r="H128" s="266"/>
      <c r="J128" s="267" t="s">
        <v>82</v>
      </c>
      <c r="K128" s="268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69"/>
      <c r="H129" s="270"/>
      <c r="J129" s="218" t="s">
        <v>111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7">
        <f>COUNTIF(H5:H124,"買い")</f>
        <v>0</v>
      </c>
      <c r="H130" s="258"/>
      <c r="J130" s="218" t="s">
        <v>112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7">
        <f>COUNTIF(H5:H124,"売り")</f>
        <v>1</v>
      </c>
      <c r="H131" s="258"/>
      <c r="J131" s="218" t="s">
        <v>113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7">
        <f>G130+G131</f>
        <v>1</v>
      </c>
      <c r="H132" s="258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7">
        <f>COUNTIF(Q5:Q124,"勝ち")</f>
        <v>1</v>
      </c>
      <c r="H133" s="258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59">
        <f>COUNTIF(Q5:Q124,"負け")</f>
        <v>0</v>
      </c>
      <c r="H134" s="260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59">
        <f>COUNTIF(Q5:Q124,"ドロー")</f>
        <v>0</v>
      </c>
      <c r="H135" s="260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59">
        <f>COUNTIF(Q5:Q124,"保留中")</f>
        <v>0</v>
      </c>
      <c r="H136" s="260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0">
        <f>SUMIF(Q5:Q124,"勝ち",V5:V124)</f>
        <v>39844.00000000005</v>
      </c>
      <c r="H137" s="251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2">
        <f>SUMIF(Q5:Q124,"負け",V5:V124)</f>
        <v>0</v>
      </c>
      <c r="H138" s="253"/>
      <c r="J138" s="254" t="s">
        <v>51</v>
      </c>
      <c r="K138" s="254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0">
        <f>G137+G138</f>
        <v>39844.00000000005</v>
      </c>
      <c r="H139" s="251"/>
      <c r="J139" s="218" t="s">
        <v>103</v>
      </c>
      <c r="K139" s="82">
        <f aca="true" t="shared" si="17" ref="K139:K144">COUNTIF($F$5:$F$124,J139)</f>
        <v>1</v>
      </c>
      <c r="L139" s="82">
        <f>_xlfn.COUNTIFS($H$5:$H$124,"買い",$F$5:$F$124,J139)</f>
        <v>0</v>
      </c>
      <c r="M139" s="83">
        <f>_xlfn.COUNTIFS($F$5:$F$124,J139,$H$5:$H$124,"売り")</f>
        <v>1</v>
      </c>
      <c r="N139" s="84">
        <f aca="true" t="shared" si="18" ref="N139:N144">SUMIF($F$5:$F$124,J139,$T$5:$T$124)+SUMIF($F$5:$F$124,J139,$U$5:$U$124)</f>
        <v>569.2000000000007</v>
      </c>
      <c r="O139" s="160">
        <f>_xlfn.COUNTIFS($Q$5:$Q$124,"勝ち",$F$5:$F$124,J139)/(COUNTIF($F$5:$F$124,J139)-_xlfn.COUNTIFS($F$5:$F$124,J139,$Q$5:$Q$124,"ドロー"))*100</f>
        <v>100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5">
        <f>G137/COUNTA(H5:H124)</f>
        <v>39844.00000000005</v>
      </c>
      <c r="H140" s="256"/>
      <c r="J140" s="218" t="s">
        <v>110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5">
        <f>G139/COUNTA(H5:H124)</f>
        <v>39844.00000000005</v>
      </c>
      <c r="H141" s="256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4"/>
      <c r="H142" s="245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4"/>
      <c r="H143" s="245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6">
        <f>MAX(T5:T124)</f>
        <v>569.2000000000007</v>
      </c>
      <c r="H144" s="247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8">
        <f>G133/(G132-G135)</f>
        <v>1</v>
      </c>
      <c r="H145" s="249"/>
      <c r="J145" s="85" t="s">
        <v>33</v>
      </c>
      <c r="K145" s="86">
        <f>SUM(K139:K144)</f>
        <v>1</v>
      </c>
      <c r="L145" s="86">
        <f>SUM(L139:L144)</f>
        <v>0</v>
      </c>
      <c r="M145" s="86">
        <f>SUM(M139:M144)</f>
        <v>1</v>
      </c>
      <c r="N145" s="80">
        <f>SUM(N139:N144)</f>
        <v>569.2000000000007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A2:B2"/>
    <mergeCell ref="C2:F2"/>
    <mergeCell ref="G2:H2"/>
    <mergeCell ref="A3:B3"/>
    <mergeCell ref="C3:F3"/>
    <mergeCell ref="G3:K3"/>
    <mergeCell ref="D4:E4"/>
    <mergeCell ref="T125:U125"/>
    <mergeCell ref="F128:H128"/>
    <mergeCell ref="J128:K128"/>
    <mergeCell ref="G129:H129"/>
    <mergeCell ref="G130:H130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G142:H142"/>
    <mergeCell ref="G143:H143"/>
    <mergeCell ref="G144:H144"/>
    <mergeCell ref="G145:H145"/>
    <mergeCell ref="G137:H137"/>
    <mergeCell ref="G138:H138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30" sqref="O30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71" t="s">
        <v>60</v>
      </c>
      <c r="B2" s="271"/>
      <c r="C2" s="272">
        <f>I2+V125</f>
        <v>32382927.00000001</v>
      </c>
      <c r="D2" s="272"/>
      <c r="E2" s="272"/>
      <c r="F2" s="272"/>
      <c r="G2" s="271" t="s">
        <v>61</v>
      </c>
      <c r="H2" s="271"/>
      <c r="I2" s="19">
        <v>1000000</v>
      </c>
      <c r="J2" s="20" t="s">
        <v>62</v>
      </c>
      <c r="K2" s="214">
        <v>0.3</v>
      </c>
      <c r="N2" s="216"/>
      <c r="O2" s="215" t="s">
        <v>109</v>
      </c>
      <c r="U2" s="18"/>
      <c r="V2" s="18"/>
      <c r="W2" s="18"/>
      <c r="AU2" s="21">
        <f>I2-I2*K2</f>
        <v>700000</v>
      </c>
    </row>
    <row r="3" spans="1:23" ht="21" customHeight="1">
      <c r="A3" s="271" t="s">
        <v>63</v>
      </c>
      <c r="B3" s="271"/>
      <c r="C3" s="273">
        <v>17</v>
      </c>
      <c r="D3" s="273"/>
      <c r="E3" s="273"/>
      <c r="F3" s="273"/>
      <c r="G3" s="274"/>
      <c r="H3" s="274"/>
      <c r="I3" s="274"/>
      <c r="J3" s="274"/>
      <c r="K3" s="274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1" t="s">
        <v>21</v>
      </c>
      <c r="E4" s="262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117</v>
      </c>
      <c r="E5" s="35" t="s">
        <v>118</v>
      </c>
      <c r="F5" s="36" t="s">
        <v>119</v>
      </c>
      <c r="G5" s="36" t="s">
        <v>108</v>
      </c>
      <c r="H5" s="36" t="s">
        <v>116</v>
      </c>
      <c r="I5" s="37">
        <v>38875</v>
      </c>
      <c r="J5" s="38">
        <v>101.86</v>
      </c>
      <c r="K5" s="38">
        <v>101.12</v>
      </c>
      <c r="L5" s="39">
        <f aca="true" t="shared" si="0" ref="L5:L68">IF(H5="","",IF(H5="買い",J5+$C$3*VLOOKUP(E5,$X$5:$AA$23,3,FALSE),J5-$C$3*VLOOKUP(E5,$X$5:$AA$23,3,FALSE)))</f>
        <v>102.03</v>
      </c>
      <c r="M5" s="36" t="s">
        <v>108</v>
      </c>
      <c r="N5" s="40">
        <v>38889</v>
      </c>
      <c r="O5" s="231">
        <v>102.5</v>
      </c>
      <c r="P5" s="42" t="s">
        <v>120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73.99999999999949</v>
      </c>
      <c r="S5" s="45">
        <f aca="true" t="shared" si="3" ref="S5:S68">IF(K5="",0,ROUNDDOWN((B5*C5)/(VLOOKUP(E5,$X$5:$AA$23,4,FALSE)*R5),-3))</f>
        <v>40000</v>
      </c>
      <c r="T5" s="46">
        <f>IF(Q5="勝ち",IF(H5="買い",(O5-J5)/VLOOKUP(E5,$X$5:$AA$23,3,FALSE),(J5-O5)/VLOOKUP(E5,$X$5:$AA$23,3,FALSE)),0)</f>
        <v>64.00000000000006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25600.000000000022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1025600</v>
      </c>
      <c r="C6" s="204">
        <v>0.03</v>
      </c>
      <c r="D6" s="34" t="s">
        <v>115</v>
      </c>
      <c r="E6" s="35" t="s">
        <v>118</v>
      </c>
      <c r="F6" s="36" t="s">
        <v>119</v>
      </c>
      <c r="G6" s="36" t="s">
        <v>108</v>
      </c>
      <c r="H6" s="36" t="s">
        <v>116</v>
      </c>
      <c r="I6" s="37">
        <v>38937</v>
      </c>
      <c r="J6" s="38">
        <v>102.89</v>
      </c>
      <c r="K6" s="38">
        <v>101.27</v>
      </c>
      <c r="L6" s="39">
        <f t="shared" si="0"/>
        <v>103.06</v>
      </c>
      <c r="M6" s="36" t="s">
        <v>108</v>
      </c>
      <c r="N6" s="37">
        <v>38960</v>
      </c>
      <c r="O6" s="38">
        <v>105.19</v>
      </c>
      <c r="P6" s="53" t="s">
        <v>120</v>
      </c>
      <c r="Q6" s="43" t="str">
        <f t="shared" si="1"/>
        <v>勝ち</v>
      </c>
      <c r="R6" s="44">
        <f t="shared" si="2"/>
        <v>162.00000000000045</v>
      </c>
      <c r="S6" s="45">
        <f t="shared" si="3"/>
        <v>18000</v>
      </c>
      <c r="T6" s="46">
        <f aca="true" t="shared" si="6" ref="T6:T68">IF(Q6="勝ち",IF(H6="買い",(O6-J6)/VLOOKUP(E6,$X$5:$AA$23,3,FALSE),(J6-O6)/VLOOKUP(E6,$X$5:$AA$23,3,FALSE)),0)</f>
        <v>229.99999999999972</v>
      </c>
      <c r="U6" s="47">
        <f t="shared" si="4"/>
        <v>0</v>
      </c>
      <c r="V6" s="48">
        <f t="shared" si="5"/>
        <v>41399.99999999995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1067000</v>
      </c>
      <c r="C7" s="204">
        <v>0.03</v>
      </c>
      <c r="D7" s="34" t="s">
        <v>117</v>
      </c>
      <c r="E7" s="35" t="s">
        <v>118</v>
      </c>
      <c r="F7" s="36" t="s">
        <v>119</v>
      </c>
      <c r="G7" s="36" t="s">
        <v>108</v>
      </c>
      <c r="H7" s="36" t="s">
        <v>102</v>
      </c>
      <c r="I7" s="37">
        <v>39033</v>
      </c>
      <c r="J7" s="38">
        <v>103.89</v>
      </c>
      <c r="K7" s="38">
        <v>104.76</v>
      </c>
      <c r="L7" s="39">
        <f t="shared" si="0"/>
        <v>103.72</v>
      </c>
      <c r="M7" s="36" t="s">
        <v>108</v>
      </c>
      <c r="N7" s="37">
        <v>39051</v>
      </c>
      <c r="O7" s="38">
        <v>101.12</v>
      </c>
      <c r="P7" s="53" t="s">
        <v>121</v>
      </c>
      <c r="Q7" s="43" t="str">
        <f t="shared" si="1"/>
        <v>勝ち</v>
      </c>
      <c r="R7" s="44">
        <f t="shared" si="2"/>
        <v>87.00000000000045</v>
      </c>
      <c r="S7" s="45">
        <f t="shared" si="3"/>
        <v>36000</v>
      </c>
      <c r="T7" s="46">
        <f t="shared" si="6"/>
        <v>276.9999999999996</v>
      </c>
      <c r="U7" s="47">
        <f t="shared" si="4"/>
        <v>0</v>
      </c>
      <c r="V7" s="48">
        <f t="shared" si="5"/>
        <v>99719.99999999985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1166719.9999999998</v>
      </c>
      <c r="C8" s="204">
        <v>0.03</v>
      </c>
      <c r="D8" s="34" t="s">
        <v>117</v>
      </c>
      <c r="E8" s="35" t="s">
        <v>118</v>
      </c>
      <c r="F8" s="36" t="s">
        <v>119</v>
      </c>
      <c r="G8" s="36" t="s">
        <v>108</v>
      </c>
      <c r="H8" s="36" t="s">
        <v>116</v>
      </c>
      <c r="I8" s="37">
        <v>39170</v>
      </c>
      <c r="J8" s="38">
        <v>101.98</v>
      </c>
      <c r="K8" s="38">
        <v>100.59</v>
      </c>
      <c r="L8" s="39">
        <f t="shared" si="0"/>
        <v>102.15</v>
      </c>
      <c r="M8" s="36" t="s">
        <v>108</v>
      </c>
      <c r="N8" s="37">
        <v>39267</v>
      </c>
      <c r="O8" s="38">
        <v>115.23</v>
      </c>
      <c r="P8" s="53" t="s">
        <v>120</v>
      </c>
      <c r="Q8" s="43" t="str">
        <f t="shared" si="1"/>
        <v>勝ち</v>
      </c>
      <c r="R8" s="44">
        <f t="shared" si="2"/>
        <v>139.00000000000006</v>
      </c>
      <c r="S8" s="45">
        <f t="shared" si="3"/>
        <v>25000</v>
      </c>
      <c r="T8" s="46">
        <f t="shared" si="6"/>
        <v>1325</v>
      </c>
      <c r="U8" s="47">
        <f t="shared" si="4"/>
        <v>0</v>
      </c>
      <c r="V8" s="48">
        <f t="shared" si="5"/>
        <v>331250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1497969.9999999998</v>
      </c>
      <c r="C9" s="204">
        <v>0.03</v>
      </c>
      <c r="D9" s="34" t="s">
        <v>117</v>
      </c>
      <c r="E9" s="35" t="s">
        <v>118</v>
      </c>
      <c r="F9" s="36" t="s">
        <v>119</v>
      </c>
      <c r="G9" s="36" t="s">
        <v>108</v>
      </c>
      <c r="H9" s="36" t="s">
        <v>102</v>
      </c>
      <c r="I9" s="37">
        <v>39288</v>
      </c>
      <c r="J9" s="38">
        <v>115.05</v>
      </c>
      <c r="K9" s="38">
        <v>116.18</v>
      </c>
      <c r="L9" s="39">
        <f t="shared" si="0"/>
        <v>114.88</v>
      </c>
      <c r="M9" s="36" t="s">
        <v>108</v>
      </c>
      <c r="N9" s="37">
        <v>39290</v>
      </c>
      <c r="O9" s="38">
        <v>109.07</v>
      </c>
      <c r="P9" s="53" t="s">
        <v>121</v>
      </c>
      <c r="Q9" s="43" t="str">
        <f t="shared" si="1"/>
        <v>勝ち</v>
      </c>
      <c r="R9" s="44">
        <f t="shared" si="2"/>
        <v>113.00000000000097</v>
      </c>
      <c r="S9" s="45">
        <f t="shared" si="3"/>
        <v>39000</v>
      </c>
      <c r="T9" s="46">
        <f t="shared" si="6"/>
        <v>598.0000000000003</v>
      </c>
      <c r="U9" s="47">
        <f t="shared" si="4"/>
        <v>0</v>
      </c>
      <c r="V9" s="48">
        <f t="shared" si="5"/>
        <v>233220.00000000015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1731190</v>
      </c>
      <c r="C10" s="204">
        <v>0.03</v>
      </c>
      <c r="D10" s="34" t="s">
        <v>117</v>
      </c>
      <c r="E10" s="35" t="s">
        <v>118</v>
      </c>
      <c r="F10" s="36" t="s">
        <v>119</v>
      </c>
      <c r="G10" s="36" t="s">
        <v>108</v>
      </c>
      <c r="H10" s="36" t="s">
        <v>116</v>
      </c>
      <c r="I10" s="37">
        <v>39351</v>
      </c>
      <c r="J10" s="38">
        <v>113.76</v>
      </c>
      <c r="K10" s="38">
        <v>115.18</v>
      </c>
      <c r="L10" s="39">
        <f t="shared" si="0"/>
        <v>113.93</v>
      </c>
      <c r="M10" s="36" t="s">
        <v>108</v>
      </c>
      <c r="N10" s="37">
        <v>39406</v>
      </c>
      <c r="O10" s="38">
        <v>120.22</v>
      </c>
      <c r="P10" s="53" t="s">
        <v>120</v>
      </c>
      <c r="Q10" s="43" t="str">
        <f t="shared" si="1"/>
        <v>勝ち</v>
      </c>
      <c r="R10" s="44">
        <f t="shared" si="2"/>
        <v>142.00000000000017</v>
      </c>
      <c r="S10" s="45">
        <f t="shared" si="3"/>
        <v>36000</v>
      </c>
      <c r="T10" s="46">
        <f t="shared" si="6"/>
        <v>645.9999999999993</v>
      </c>
      <c r="U10" s="47">
        <f t="shared" si="4"/>
        <v>0</v>
      </c>
      <c r="V10" s="48">
        <f t="shared" si="5"/>
        <v>232559.99999999977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1963749.9999999998</v>
      </c>
      <c r="C11" s="204">
        <v>0.03</v>
      </c>
      <c r="D11" s="34" t="s">
        <v>117</v>
      </c>
      <c r="E11" s="35" t="s">
        <v>118</v>
      </c>
      <c r="F11" s="36" t="s">
        <v>119</v>
      </c>
      <c r="G11" s="36" t="s">
        <v>108</v>
      </c>
      <c r="H11" s="36" t="s">
        <v>102</v>
      </c>
      <c r="I11" s="37">
        <v>39457</v>
      </c>
      <c r="J11" s="38">
        <v>107.67</v>
      </c>
      <c r="K11" s="38">
        <v>109.23</v>
      </c>
      <c r="L11" s="39">
        <f t="shared" si="0"/>
        <v>107.5</v>
      </c>
      <c r="M11" s="36" t="s">
        <v>108</v>
      </c>
      <c r="N11" s="37">
        <v>39480</v>
      </c>
      <c r="O11" s="38">
        <v>104.12</v>
      </c>
      <c r="P11" s="53" t="s">
        <v>121</v>
      </c>
      <c r="Q11" s="43" t="str">
        <f t="shared" si="1"/>
        <v>勝ち</v>
      </c>
      <c r="R11" s="44">
        <f t="shared" si="2"/>
        <v>156.00000000000023</v>
      </c>
      <c r="S11" s="45">
        <f t="shared" si="3"/>
        <v>37000</v>
      </c>
      <c r="T11" s="46">
        <f t="shared" si="6"/>
        <v>354.9999999999997</v>
      </c>
      <c r="U11" s="47">
        <f t="shared" si="4"/>
        <v>0</v>
      </c>
      <c r="V11" s="48">
        <f t="shared" si="5"/>
        <v>131349.99999999988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2095099.9999999995</v>
      </c>
      <c r="C12" s="204">
        <v>0.03</v>
      </c>
      <c r="D12" s="34" t="s">
        <v>117</v>
      </c>
      <c r="E12" s="35" t="s">
        <v>118</v>
      </c>
      <c r="F12" s="36" t="s">
        <v>119</v>
      </c>
      <c r="G12" s="36" t="s">
        <v>108</v>
      </c>
      <c r="H12" s="36" t="s">
        <v>102</v>
      </c>
      <c r="I12" s="37">
        <v>39570</v>
      </c>
      <c r="J12" s="38">
        <v>103.72</v>
      </c>
      <c r="K12" s="38">
        <v>104.21</v>
      </c>
      <c r="L12" s="39">
        <f t="shared" si="0"/>
        <v>103.55</v>
      </c>
      <c r="M12" s="36" t="s">
        <v>108</v>
      </c>
      <c r="N12" s="37">
        <v>39576</v>
      </c>
      <c r="O12" s="38">
        <v>103.77</v>
      </c>
      <c r="P12" s="53" t="s">
        <v>125</v>
      </c>
      <c r="Q12" s="43" t="str">
        <f t="shared" si="1"/>
        <v>負け</v>
      </c>
      <c r="R12" s="44">
        <f t="shared" si="2"/>
        <v>48.99999999999949</v>
      </c>
      <c r="S12" s="45">
        <f t="shared" si="3"/>
        <v>128000</v>
      </c>
      <c r="T12" s="46">
        <f t="shared" si="6"/>
        <v>0</v>
      </c>
      <c r="U12" s="47">
        <f t="shared" si="4"/>
        <v>-4.999999999999716</v>
      </c>
      <c r="V12" s="48">
        <f t="shared" si="5"/>
        <v>-6399.999999999636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2088700</v>
      </c>
      <c r="C13" s="204">
        <v>0.03</v>
      </c>
      <c r="D13" s="34" t="s">
        <v>117</v>
      </c>
      <c r="E13" s="35" t="s">
        <v>118</v>
      </c>
      <c r="F13" s="36" t="s">
        <v>119</v>
      </c>
      <c r="G13" s="36" t="s">
        <v>108</v>
      </c>
      <c r="H13" s="36" t="s">
        <v>102</v>
      </c>
      <c r="I13" s="37">
        <v>39660</v>
      </c>
      <c r="J13" s="38">
        <v>104.89</v>
      </c>
      <c r="K13" s="38">
        <v>105.91</v>
      </c>
      <c r="L13" s="39">
        <f t="shared" si="0"/>
        <v>104.72</v>
      </c>
      <c r="M13" s="36" t="s">
        <v>108</v>
      </c>
      <c r="N13" s="37">
        <v>39745</v>
      </c>
      <c r="O13" s="38">
        <v>78.81</v>
      </c>
      <c r="P13" s="53" t="s">
        <v>121</v>
      </c>
      <c r="Q13" s="43" t="str">
        <f t="shared" si="1"/>
        <v>勝ち</v>
      </c>
      <c r="R13" s="44">
        <f t="shared" si="2"/>
        <v>101.9999999999996</v>
      </c>
      <c r="S13" s="45">
        <f t="shared" si="3"/>
        <v>61000</v>
      </c>
      <c r="T13" s="46">
        <f t="shared" si="6"/>
        <v>2608</v>
      </c>
      <c r="U13" s="47">
        <f t="shared" si="4"/>
        <v>0</v>
      </c>
      <c r="V13" s="48">
        <f t="shared" si="5"/>
        <v>1590880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3679580</v>
      </c>
      <c r="C14" s="204">
        <v>0.03</v>
      </c>
      <c r="D14" s="34" t="s">
        <v>117</v>
      </c>
      <c r="E14" s="35" t="s">
        <v>118</v>
      </c>
      <c r="F14" s="36" t="s">
        <v>119</v>
      </c>
      <c r="G14" s="36" t="s">
        <v>108</v>
      </c>
      <c r="H14" s="36" t="s">
        <v>116</v>
      </c>
      <c r="I14" s="37">
        <v>39862</v>
      </c>
      <c r="J14" s="38">
        <v>74.67</v>
      </c>
      <c r="K14" s="38">
        <v>72.84</v>
      </c>
      <c r="L14" s="39">
        <f t="shared" si="0"/>
        <v>74.84</v>
      </c>
      <c r="M14" s="36" t="s">
        <v>108</v>
      </c>
      <c r="N14" s="37">
        <v>39959</v>
      </c>
      <c r="O14" s="38">
        <v>83.5</v>
      </c>
      <c r="P14" s="53" t="s">
        <v>120</v>
      </c>
      <c r="Q14" s="43" t="str">
        <f t="shared" si="1"/>
        <v>勝ち</v>
      </c>
      <c r="R14" s="44">
        <f t="shared" si="2"/>
        <v>182.99999999999983</v>
      </c>
      <c r="S14" s="45">
        <f t="shared" si="3"/>
        <v>60000</v>
      </c>
      <c r="T14" s="46">
        <f t="shared" si="6"/>
        <v>882.9999999999998</v>
      </c>
      <c r="U14" s="47">
        <f t="shared" si="4"/>
        <v>0</v>
      </c>
      <c r="V14" s="48">
        <f t="shared" si="5"/>
        <v>529799.9999999999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4209380</v>
      </c>
      <c r="C15" s="204">
        <v>0.03</v>
      </c>
      <c r="D15" s="34" t="s">
        <v>117</v>
      </c>
      <c r="E15" s="35" t="s">
        <v>118</v>
      </c>
      <c r="F15" s="36" t="s">
        <v>119</v>
      </c>
      <c r="G15" s="36" t="s">
        <v>108</v>
      </c>
      <c r="H15" s="36" t="s">
        <v>116</v>
      </c>
      <c r="I15" s="37">
        <v>39932</v>
      </c>
      <c r="J15" s="38">
        <v>81.46</v>
      </c>
      <c r="K15" s="38">
        <v>78.094</v>
      </c>
      <c r="L15" s="39">
        <f t="shared" si="0"/>
        <v>81.63</v>
      </c>
      <c r="M15" s="36" t="s">
        <v>108</v>
      </c>
      <c r="N15" s="37">
        <v>39974</v>
      </c>
      <c r="O15" s="38">
        <v>87.95</v>
      </c>
      <c r="P15" s="53" t="s">
        <v>120</v>
      </c>
      <c r="Q15" s="43" t="str">
        <f t="shared" si="1"/>
        <v>勝ち</v>
      </c>
      <c r="R15" s="44">
        <f t="shared" si="2"/>
        <v>336.59999999999997</v>
      </c>
      <c r="S15" s="45">
        <f t="shared" si="3"/>
        <v>37000</v>
      </c>
      <c r="T15" s="46">
        <f t="shared" si="6"/>
        <v>649.0000000000009</v>
      </c>
      <c r="U15" s="47">
        <f t="shared" si="4"/>
        <v>0</v>
      </c>
      <c r="V15" s="48">
        <f t="shared" si="5"/>
        <v>240130.00000000035</v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  <v>4449510</v>
      </c>
      <c r="C16" s="204">
        <v>0.03</v>
      </c>
      <c r="D16" s="34" t="s">
        <v>117</v>
      </c>
      <c r="E16" s="35" t="s">
        <v>118</v>
      </c>
      <c r="F16" s="36" t="s">
        <v>119</v>
      </c>
      <c r="G16" s="36" t="s">
        <v>108</v>
      </c>
      <c r="H16" s="36" t="s">
        <v>102</v>
      </c>
      <c r="I16" s="37">
        <v>40050</v>
      </c>
      <c r="J16" s="38">
        <v>86.4</v>
      </c>
      <c r="K16" s="38">
        <v>88.02</v>
      </c>
      <c r="L16" s="39">
        <f t="shared" si="0"/>
        <v>86.23</v>
      </c>
      <c r="M16" s="36" t="s">
        <v>108</v>
      </c>
      <c r="N16" s="37">
        <v>40095</v>
      </c>
      <c r="O16" s="38">
        <v>84.17</v>
      </c>
      <c r="P16" s="53" t="s">
        <v>121</v>
      </c>
      <c r="Q16" s="43" t="str">
        <f t="shared" si="1"/>
        <v>勝ち</v>
      </c>
      <c r="R16" s="44">
        <f t="shared" si="2"/>
        <v>161.99999999999903</v>
      </c>
      <c r="S16" s="45">
        <f t="shared" si="3"/>
        <v>82000</v>
      </c>
      <c r="T16" s="46">
        <f t="shared" si="6"/>
        <v>223.0000000000004</v>
      </c>
      <c r="U16" s="47">
        <f t="shared" si="4"/>
        <v>0</v>
      </c>
      <c r="V16" s="48">
        <f t="shared" si="5"/>
        <v>182860.00000000032</v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  <v>4632370</v>
      </c>
      <c r="C17" s="204">
        <v>0.03</v>
      </c>
      <c r="D17" s="34" t="s">
        <v>117</v>
      </c>
      <c r="E17" s="35" t="s">
        <v>118</v>
      </c>
      <c r="F17" s="36" t="s">
        <v>119</v>
      </c>
      <c r="G17" s="36" t="s">
        <v>108</v>
      </c>
      <c r="H17" s="36" t="s">
        <v>116</v>
      </c>
      <c r="I17" s="37">
        <v>40165</v>
      </c>
      <c r="J17" s="38">
        <v>85.06</v>
      </c>
      <c r="K17" s="38">
        <v>82.96</v>
      </c>
      <c r="L17" s="39">
        <f t="shared" si="0"/>
        <v>85.23</v>
      </c>
      <c r="M17" s="36" t="s">
        <v>108</v>
      </c>
      <c r="N17" s="37">
        <v>40184</v>
      </c>
      <c r="O17" s="38">
        <v>87.94</v>
      </c>
      <c r="P17" s="53" t="s">
        <v>120</v>
      </c>
      <c r="Q17" s="43" t="str">
        <f t="shared" si="1"/>
        <v>勝ち</v>
      </c>
      <c r="R17" s="44">
        <f t="shared" si="2"/>
        <v>210.00000000000085</v>
      </c>
      <c r="S17" s="45">
        <f t="shared" si="3"/>
        <v>66000</v>
      </c>
      <c r="T17" s="46">
        <f t="shared" si="6"/>
        <v>287.99999999999955</v>
      </c>
      <c r="U17" s="47">
        <f t="shared" si="4"/>
        <v>0</v>
      </c>
      <c r="V17" s="48">
        <f t="shared" si="5"/>
        <v>190079.9999999997</v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  <v>4822450</v>
      </c>
      <c r="C18" s="204">
        <v>0.03</v>
      </c>
      <c r="D18" s="34" t="s">
        <v>117</v>
      </c>
      <c r="E18" s="35" t="s">
        <v>118</v>
      </c>
      <c r="F18" s="36" t="s">
        <v>119</v>
      </c>
      <c r="G18" s="36" t="s">
        <v>108</v>
      </c>
      <c r="H18" s="36" t="s">
        <v>116</v>
      </c>
      <c r="I18" s="37">
        <v>40246</v>
      </c>
      <c r="J18" s="38">
        <v>87.93</v>
      </c>
      <c r="K18" s="38">
        <v>86.92</v>
      </c>
      <c r="L18" s="39">
        <f t="shared" si="0"/>
        <v>88.10000000000001</v>
      </c>
      <c r="M18" s="36" t="s">
        <v>108</v>
      </c>
      <c r="N18" s="37">
        <v>40290</v>
      </c>
      <c r="O18" s="38">
        <v>92.43</v>
      </c>
      <c r="P18" s="53" t="s">
        <v>120</v>
      </c>
      <c r="Q18" s="43" t="str">
        <f t="shared" si="1"/>
        <v>勝ち</v>
      </c>
      <c r="R18" s="44">
        <f t="shared" si="2"/>
        <v>101.00000000000051</v>
      </c>
      <c r="S18" s="45">
        <f t="shared" si="3"/>
        <v>143000</v>
      </c>
      <c r="T18" s="46">
        <f t="shared" si="6"/>
        <v>450</v>
      </c>
      <c r="U18" s="47">
        <f t="shared" si="4"/>
        <v>0</v>
      </c>
      <c r="V18" s="48">
        <f t="shared" si="5"/>
        <v>643500</v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  <v>5465950</v>
      </c>
      <c r="C19" s="204">
        <v>0.03</v>
      </c>
      <c r="D19" s="34" t="s">
        <v>117</v>
      </c>
      <c r="E19" s="35" t="s">
        <v>118</v>
      </c>
      <c r="F19" s="36" t="s">
        <v>119</v>
      </c>
      <c r="G19" s="36" t="s">
        <v>108</v>
      </c>
      <c r="H19" s="36" t="s">
        <v>102</v>
      </c>
      <c r="I19" s="37">
        <v>40302</v>
      </c>
      <c r="J19" s="38">
        <v>91.98</v>
      </c>
      <c r="K19" s="38">
        <v>93.9</v>
      </c>
      <c r="L19" s="39">
        <f t="shared" si="0"/>
        <v>91.81</v>
      </c>
      <c r="M19" s="36" t="s">
        <v>108</v>
      </c>
      <c r="N19" s="37">
        <v>40420</v>
      </c>
      <c r="O19" s="38">
        <v>81.94</v>
      </c>
      <c r="P19" s="53" t="s">
        <v>121</v>
      </c>
      <c r="Q19" s="43" t="str">
        <f t="shared" si="1"/>
        <v>勝ち</v>
      </c>
      <c r="R19" s="44">
        <f t="shared" si="2"/>
        <v>192.00000000000017</v>
      </c>
      <c r="S19" s="45">
        <f t="shared" si="3"/>
        <v>85000</v>
      </c>
      <c r="T19" s="46">
        <f t="shared" si="6"/>
        <v>1004.0000000000006</v>
      </c>
      <c r="U19" s="47">
        <f t="shared" si="4"/>
        <v>0</v>
      </c>
      <c r="V19" s="48">
        <f t="shared" si="5"/>
        <v>853400.0000000005</v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  <v>6319350</v>
      </c>
      <c r="C20" s="204">
        <v>0.03</v>
      </c>
      <c r="D20" s="34" t="s">
        <v>117</v>
      </c>
      <c r="E20" s="35" t="s">
        <v>118</v>
      </c>
      <c r="F20" s="36" t="s">
        <v>119</v>
      </c>
      <c r="G20" s="36" t="s">
        <v>108</v>
      </c>
      <c r="H20" s="36" t="s">
        <v>116</v>
      </c>
      <c r="I20" s="37">
        <v>40486</v>
      </c>
      <c r="J20" s="38">
        <v>80.78</v>
      </c>
      <c r="K20" s="38">
        <v>80.07</v>
      </c>
      <c r="L20" s="39">
        <f t="shared" si="0"/>
        <v>80.95</v>
      </c>
      <c r="M20" s="36" t="s">
        <v>108</v>
      </c>
      <c r="N20" s="37">
        <v>40640</v>
      </c>
      <c r="O20" s="38">
        <v>87.912</v>
      </c>
      <c r="P20" s="53" t="s">
        <v>120</v>
      </c>
      <c r="Q20" s="43" t="str">
        <f t="shared" si="1"/>
        <v>勝ち</v>
      </c>
      <c r="R20" s="44">
        <f t="shared" si="2"/>
        <v>71.0000000000008</v>
      </c>
      <c r="S20" s="45">
        <f t="shared" si="3"/>
        <v>267000</v>
      </c>
      <c r="T20" s="46">
        <f t="shared" si="6"/>
        <v>713.2000000000005</v>
      </c>
      <c r="U20" s="47">
        <f t="shared" si="4"/>
        <v>0</v>
      </c>
      <c r="V20" s="48">
        <f t="shared" si="5"/>
        <v>1904244.0000000014</v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  <v>8223594.000000002</v>
      </c>
      <c r="C21" s="204">
        <v>0.03</v>
      </c>
      <c r="D21" s="34" t="s">
        <v>117</v>
      </c>
      <c r="E21" s="35" t="s">
        <v>118</v>
      </c>
      <c r="F21" s="36" t="s">
        <v>119</v>
      </c>
      <c r="G21" s="36" t="s">
        <v>108</v>
      </c>
      <c r="H21" s="36" t="s">
        <v>102</v>
      </c>
      <c r="I21" s="37">
        <v>40654</v>
      </c>
      <c r="J21" s="38">
        <v>85.682</v>
      </c>
      <c r="K21" s="38">
        <v>86.787</v>
      </c>
      <c r="L21" s="39">
        <f t="shared" si="0"/>
        <v>85.512</v>
      </c>
      <c r="M21" s="36" t="s">
        <v>108</v>
      </c>
      <c r="N21" s="37">
        <v>40814</v>
      </c>
      <c r="O21" s="38">
        <v>75.342</v>
      </c>
      <c r="P21" s="53" t="s">
        <v>121</v>
      </c>
      <c r="Q21" s="43" t="str">
        <f t="shared" si="1"/>
        <v>勝ち</v>
      </c>
      <c r="R21" s="44">
        <f t="shared" si="2"/>
        <v>110.5000000000004</v>
      </c>
      <c r="S21" s="45">
        <f t="shared" si="3"/>
        <v>223000</v>
      </c>
      <c r="T21" s="46">
        <f t="shared" si="6"/>
        <v>1034.0000000000002</v>
      </c>
      <c r="U21" s="47">
        <f t="shared" si="4"/>
        <v>0</v>
      </c>
      <c r="V21" s="48">
        <f t="shared" si="5"/>
        <v>2305820.0000000005</v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  <v>10529414.000000002</v>
      </c>
      <c r="C22" s="204">
        <v>0.03</v>
      </c>
      <c r="D22" s="34" t="s">
        <v>117</v>
      </c>
      <c r="E22" s="35" t="s">
        <v>118</v>
      </c>
      <c r="F22" s="36" t="s">
        <v>119</v>
      </c>
      <c r="G22" s="36" t="s">
        <v>108</v>
      </c>
      <c r="H22" s="36" t="s">
        <v>116</v>
      </c>
      <c r="I22" s="37">
        <v>40842</v>
      </c>
      <c r="J22" s="38">
        <v>75.963</v>
      </c>
      <c r="K22" s="38">
        <v>74.534</v>
      </c>
      <c r="L22" s="39">
        <f t="shared" si="0"/>
        <v>76.133</v>
      </c>
      <c r="M22" s="36" t="s">
        <v>108</v>
      </c>
      <c r="N22" s="37">
        <v>40868</v>
      </c>
      <c r="O22" s="38">
        <v>74.53</v>
      </c>
      <c r="P22" s="53" t="s">
        <v>125</v>
      </c>
      <c r="Q22" s="43" t="str">
        <f t="shared" si="1"/>
        <v>負け</v>
      </c>
      <c r="R22" s="44">
        <f t="shared" si="2"/>
        <v>142.89999999999878</v>
      </c>
      <c r="S22" s="45">
        <f t="shared" si="3"/>
        <v>221000</v>
      </c>
      <c r="T22" s="46">
        <f t="shared" si="6"/>
        <v>0</v>
      </c>
      <c r="U22" s="47">
        <f t="shared" si="4"/>
        <v>-143.29999999999927</v>
      </c>
      <c r="V22" s="48">
        <f t="shared" si="5"/>
        <v>-316692.99999999837</v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  <v>10212721.000000004</v>
      </c>
      <c r="C23" s="204">
        <v>0.03</v>
      </c>
      <c r="D23" s="34" t="s">
        <v>117</v>
      </c>
      <c r="E23" s="35" t="s">
        <v>118</v>
      </c>
      <c r="F23" s="36" t="s">
        <v>119</v>
      </c>
      <c r="G23" s="36" t="s">
        <v>108</v>
      </c>
      <c r="H23" s="36" t="s">
        <v>116</v>
      </c>
      <c r="I23" s="37">
        <v>40945</v>
      </c>
      <c r="J23" s="38">
        <v>77.16</v>
      </c>
      <c r="K23" s="38">
        <v>76.668</v>
      </c>
      <c r="L23" s="39">
        <f t="shared" si="0"/>
        <v>77.33</v>
      </c>
      <c r="M23" s="36" t="s">
        <v>108</v>
      </c>
      <c r="N23" s="37">
        <v>40988</v>
      </c>
      <c r="O23" s="38">
        <v>83.772</v>
      </c>
      <c r="P23" s="53" t="s">
        <v>120</v>
      </c>
      <c r="Q23" s="43" t="str">
        <f t="shared" si="1"/>
        <v>勝ち</v>
      </c>
      <c r="R23" s="44">
        <f t="shared" si="2"/>
        <v>49.19999999999902</v>
      </c>
      <c r="S23" s="45">
        <f t="shared" si="3"/>
        <v>622000</v>
      </c>
      <c r="T23" s="46">
        <f t="shared" si="6"/>
        <v>661.2000000000008</v>
      </c>
      <c r="U23" s="47">
        <f t="shared" si="4"/>
        <v>0</v>
      </c>
      <c r="V23" s="48">
        <f t="shared" si="5"/>
        <v>4112664.000000005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  <v>14325385.00000001</v>
      </c>
      <c r="C24" s="204">
        <v>0.03</v>
      </c>
      <c r="D24" s="34" t="s">
        <v>117</v>
      </c>
      <c r="E24" s="35" t="s">
        <v>118</v>
      </c>
      <c r="F24" s="36" t="s">
        <v>119</v>
      </c>
      <c r="G24" s="36" t="s">
        <v>108</v>
      </c>
      <c r="H24" s="36" t="s">
        <v>102</v>
      </c>
      <c r="I24" s="37">
        <v>41005</v>
      </c>
      <c r="J24" s="38">
        <v>81.513</v>
      </c>
      <c r="K24" s="38">
        <v>83.119</v>
      </c>
      <c r="L24" s="39">
        <f t="shared" si="0"/>
        <v>81.343</v>
      </c>
      <c r="M24" s="36" t="s">
        <v>108</v>
      </c>
      <c r="N24" s="37">
        <v>41008</v>
      </c>
      <c r="O24" s="38">
        <v>77.769</v>
      </c>
      <c r="P24" s="53" t="s">
        <v>121</v>
      </c>
      <c r="Q24" s="43" t="str">
        <f t="shared" si="1"/>
        <v>勝ち</v>
      </c>
      <c r="R24" s="44">
        <f t="shared" si="2"/>
        <v>160.59999999999945</v>
      </c>
      <c r="S24" s="45">
        <f t="shared" si="3"/>
        <v>267000</v>
      </c>
      <c r="T24" s="46">
        <f t="shared" si="6"/>
        <v>374.4</v>
      </c>
      <c r="U24" s="47">
        <f t="shared" si="4"/>
        <v>0</v>
      </c>
      <c r="V24" s="48">
        <f t="shared" si="5"/>
        <v>999647.9999999999</v>
      </c>
    </row>
    <row r="25" spans="1:22" ht="13.5">
      <c r="A25" s="52">
        <v>21</v>
      </c>
      <c r="B25" s="209">
        <f t="shared" si="8"/>
        <v>15325033.00000001</v>
      </c>
      <c r="C25" s="204">
        <v>0.03</v>
      </c>
      <c r="D25" s="34" t="s">
        <v>117</v>
      </c>
      <c r="E25" s="35" t="s">
        <v>118</v>
      </c>
      <c r="F25" s="36" t="s">
        <v>119</v>
      </c>
      <c r="G25" s="36" t="s">
        <v>108</v>
      </c>
      <c r="H25" s="36" t="s">
        <v>116</v>
      </c>
      <c r="I25" s="37">
        <v>41124</v>
      </c>
      <c r="J25" s="38">
        <v>78.832</v>
      </c>
      <c r="K25" s="38">
        <v>77.475</v>
      </c>
      <c r="L25" s="39">
        <f t="shared" si="0"/>
        <v>79.002</v>
      </c>
      <c r="M25" s="36" t="s">
        <v>108</v>
      </c>
      <c r="N25" s="37">
        <v>41374</v>
      </c>
      <c r="O25" s="38">
        <v>97.347</v>
      </c>
      <c r="P25" s="53" t="s">
        <v>120</v>
      </c>
      <c r="Q25" s="43" t="str">
        <f t="shared" si="1"/>
        <v>勝ち</v>
      </c>
      <c r="R25" s="44">
        <f t="shared" si="2"/>
        <v>135.69999999999993</v>
      </c>
      <c r="S25" s="45">
        <f t="shared" si="3"/>
        <v>338000</v>
      </c>
      <c r="T25" s="46">
        <f t="shared" si="6"/>
        <v>1851.5</v>
      </c>
      <c r="U25" s="47">
        <f t="shared" si="4"/>
        <v>0</v>
      </c>
      <c r="V25" s="48">
        <f t="shared" si="5"/>
        <v>6258070</v>
      </c>
    </row>
    <row r="26" spans="1:22" ht="13.5">
      <c r="A26" s="52">
        <v>22</v>
      </c>
      <c r="B26" s="209">
        <f t="shared" si="8"/>
        <v>21583103.000000007</v>
      </c>
      <c r="C26" s="204">
        <v>0.03</v>
      </c>
      <c r="D26" s="34" t="s">
        <v>117</v>
      </c>
      <c r="E26" s="35" t="s">
        <v>118</v>
      </c>
      <c r="F26" s="36" t="s">
        <v>119</v>
      </c>
      <c r="G26" s="36" t="s">
        <v>108</v>
      </c>
      <c r="H26" s="36" t="s">
        <v>102</v>
      </c>
      <c r="I26" s="37">
        <v>41488</v>
      </c>
      <c r="J26" s="38">
        <v>95.075</v>
      </c>
      <c r="K26" s="38">
        <v>96.288</v>
      </c>
      <c r="L26" s="39">
        <f t="shared" si="0"/>
        <v>94.905</v>
      </c>
      <c r="M26" s="36" t="s">
        <v>108</v>
      </c>
      <c r="N26" s="37">
        <v>41513</v>
      </c>
      <c r="O26" s="38">
        <v>93.814</v>
      </c>
      <c r="P26" s="53" t="s">
        <v>120</v>
      </c>
      <c r="Q26" s="43" t="str">
        <f t="shared" si="1"/>
        <v>勝ち</v>
      </c>
      <c r="R26" s="44">
        <f t="shared" si="2"/>
        <v>121.29999999999939</v>
      </c>
      <c r="S26" s="45">
        <f t="shared" si="3"/>
        <v>533000</v>
      </c>
      <c r="T26" s="46">
        <f t="shared" si="6"/>
        <v>126.10000000000099</v>
      </c>
      <c r="U26" s="47">
        <f t="shared" si="4"/>
        <v>0</v>
      </c>
      <c r="V26" s="48">
        <f t="shared" si="5"/>
        <v>672113.0000000052</v>
      </c>
    </row>
    <row r="27" spans="1:22" ht="13.5">
      <c r="A27" s="52">
        <v>23</v>
      </c>
      <c r="B27" s="209">
        <f t="shared" si="8"/>
        <v>22255216.00000001</v>
      </c>
      <c r="C27" s="204">
        <v>0.03</v>
      </c>
      <c r="D27" s="34" t="s">
        <v>117</v>
      </c>
      <c r="E27" s="35" t="s">
        <v>118</v>
      </c>
      <c r="F27" s="36" t="s">
        <v>119</v>
      </c>
      <c r="G27" s="36" t="s">
        <v>108</v>
      </c>
      <c r="H27" s="36" t="s">
        <v>116</v>
      </c>
      <c r="I27" s="37">
        <v>41592</v>
      </c>
      <c r="J27" s="38">
        <v>95.561</v>
      </c>
      <c r="K27" s="38">
        <v>94.835</v>
      </c>
      <c r="L27" s="39">
        <f t="shared" si="0"/>
        <v>95.73100000000001</v>
      </c>
      <c r="M27" s="36" t="s">
        <v>108</v>
      </c>
      <c r="N27" s="37">
        <v>41628</v>
      </c>
      <c r="O27" s="38">
        <v>98.06</v>
      </c>
      <c r="P27" s="53" t="s">
        <v>120</v>
      </c>
      <c r="Q27" s="43" t="str">
        <f t="shared" si="1"/>
        <v>勝ち</v>
      </c>
      <c r="R27" s="44">
        <f t="shared" si="2"/>
        <v>72.60000000000133</v>
      </c>
      <c r="S27" s="45">
        <f t="shared" si="3"/>
        <v>919000</v>
      </c>
      <c r="T27" s="46">
        <f t="shared" si="6"/>
        <v>249.89999999999952</v>
      </c>
      <c r="U27" s="47">
        <f t="shared" si="4"/>
        <v>0</v>
      </c>
      <c r="V27" s="48">
        <f t="shared" si="5"/>
        <v>2296580.999999996</v>
      </c>
    </row>
    <row r="28" spans="1:22" ht="13.5">
      <c r="A28" s="52">
        <v>24</v>
      </c>
      <c r="B28" s="209">
        <f t="shared" si="8"/>
        <v>24551797.000000007</v>
      </c>
      <c r="C28" s="204">
        <v>0.03</v>
      </c>
      <c r="D28" s="34" t="s">
        <v>117</v>
      </c>
      <c r="E28" s="35" t="s">
        <v>118</v>
      </c>
      <c r="F28" s="36" t="s">
        <v>119</v>
      </c>
      <c r="G28" s="36" t="s">
        <v>108</v>
      </c>
      <c r="H28" s="36" t="s">
        <v>116</v>
      </c>
      <c r="I28" s="37">
        <v>41871</v>
      </c>
      <c r="J28" s="38">
        <v>94.643</v>
      </c>
      <c r="K28" s="38">
        <v>94.01</v>
      </c>
      <c r="L28" s="39">
        <f t="shared" si="0"/>
        <v>94.813</v>
      </c>
      <c r="M28" s="36" t="s">
        <v>108</v>
      </c>
      <c r="N28" s="37">
        <v>41906</v>
      </c>
      <c r="O28" s="38">
        <v>97.757</v>
      </c>
      <c r="P28" s="53" t="s">
        <v>121</v>
      </c>
      <c r="Q28" s="43" t="str">
        <f t="shared" si="1"/>
        <v>勝ち</v>
      </c>
      <c r="R28" s="44">
        <f t="shared" si="2"/>
        <v>63.29999999999956</v>
      </c>
      <c r="S28" s="45">
        <f t="shared" si="3"/>
        <v>1163000</v>
      </c>
      <c r="T28" s="46">
        <f t="shared" si="6"/>
        <v>311.40000000000043</v>
      </c>
      <c r="U28" s="47">
        <f t="shared" si="4"/>
        <v>0</v>
      </c>
      <c r="V28" s="48">
        <f t="shared" si="5"/>
        <v>3621582.000000005</v>
      </c>
    </row>
    <row r="29" spans="1:22" ht="13.5">
      <c r="A29" s="52">
        <v>25</v>
      </c>
      <c r="B29" s="209">
        <f t="shared" si="8"/>
        <v>28173379.00000001</v>
      </c>
      <c r="C29" s="204">
        <v>0.03</v>
      </c>
      <c r="D29" s="34" t="s">
        <v>117</v>
      </c>
      <c r="E29" s="35" t="s">
        <v>118</v>
      </c>
      <c r="F29" s="36" t="s">
        <v>119</v>
      </c>
      <c r="G29" s="36" t="s">
        <v>108</v>
      </c>
      <c r="H29" s="36" t="s">
        <v>102</v>
      </c>
      <c r="I29" s="37">
        <v>42003</v>
      </c>
      <c r="J29" s="38">
        <v>102.256</v>
      </c>
      <c r="K29" s="38">
        <v>103.674</v>
      </c>
      <c r="L29" s="39">
        <f t="shared" si="0"/>
        <v>102.086</v>
      </c>
      <c r="M29" s="36" t="s">
        <v>108</v>
      </c>
      <c r="N29" s="37">
        <v>42032</v>
      </c>
      <c r="O29" s="38">
        <v>95.193</v>
      </c>
      <c r="P29" s="53"/>
      <c r="Q29" s="43" t="str">
        <f t="shared" si="1"/>
        <v>勝ち</v>
      </c>
      <c r="R29" s="44">
        <f t="shared" si="2"/>
        <v>141.80000000000064</v>
      </c>
      <c r="S29" s="45">
        <f t="shared" si="3"/>
        <v>596000</v>
      </c>
      <c r="T29" s="46">
        <f t="shared" si="6"/>
        <v>706.3000000000002</v>
      </c>
      <c r="U29" s="47">
        <f t="shared" si="4"/>
        <v>0</v>
      </c>
      <c r="V29" s="48">
        <f t="shared" si="5"/>
        <v>4209548.000000001</v>
      </c>
    </row>
    <row r="30" spans="1:22" ht="13.5">
      <c r="A30" s="52">
        <v>26</v>
      </c>
      <c r="B30" s="209">
        <f t="shared" si="8"/>
        <v>32382927.00000001</v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3">
        <f>SUM(T5:T124)+SUM(U5:U124)</f>
        <v>15479.7</v>
      </c>
      <c r="U125" s="263"/>
      <c r="V125" s="77">
        <f>SUM(V5:V124)</f>
        <v>31382927.00000001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4" t="s">
        <v>34</v>
      </c>
      <c r="G128" s="265"/>
      <c r="H128" s="266"/>
      <c r="J128" s="267" t="s">
        <v>82</v>
      </c>
      <c r="K128" s="268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69"/>
      <c r="H129" s="270"/>
      <c r="J129" s="218" t="s">
        <v>111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7">
        <f>COUNTIF(H5:H124,"買い")</f>
        <v>14</v>
      </c>
      <c r="H130" s="258"/>
      <c r="J130" s="218" t="s">
        <v>112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7">
        <f>COUNTIF(H5:H124,"売り")</f>
        <v>11</v>
      </c>
      <c r="H131" s="258"/>
      <c r="J131" s="218" t="s">
        <v>113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7">
        <f>G130+G131</f>
        <v>25</v>
      </c>
      <c r="H132" s="258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7">
        <f>COUNTIF(Q5:Q124,"勝ち")</f>
        <v>23</v>
      </c>
      <c r="H133" s="258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59">
        <f>COUNTIF(Q5:Q124,"負け")</f>
        <v>2</v>
      </c>
      <c r="H134" s="260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59">
        <f>COUNTIF(Q5:Q124,"ドロー")</f>
        <v>0</v>
      </c>
      <c r="H135" s="260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59">
        <f>COUNTIF(Q5:Q124,"保留中")</f>
        <v>0</v>
      </c>
      <c r="H136" s="260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0">
        <f>SUMIF(Q5:Q124,"勝ち",V5:V124)</f>
        <v>31706020.00000001</v>
      </c>
      <c r="H137" s="251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2">
        <f>SUMIF(Q5:Q124,"負け",V5:V124)</f>
        <v>-323092.999999998</v>
      </c>
      <c r="H138" s="253"/>
      <c r="J138" s="254" t="s">
        <v>51</v>
      </c>
      <c r="K138" s="254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0">
        <f>G137+G138</f>
        <v>31382927.000000015</v>
      </c>
      <c r="H139" s="251"/>
      <c r="J139" s="201" t="s">
        <v>104</v>
      </c>
      <c r="K139" s="82">
        <f aca="true" t="shared" si="19" ref="K139:K144">COUNTIF($F$5:$F$124,J139)</f>
        <v>0</v>
      </c>
      <c r="L139" s="82">
        <f>_xlfn.COUNTIFS($H$5:$H$124,"買い",$F$5:$F$124,J139)</f>
        <v>0</v>
      </c>
      <c r="M139" s="83">
        <f>_xlfn.COUNTIFS($F$5:$F$124,J139,$H$5:$H$124,"売り")</f>
        <v>0</v>
      </c>
      <c r="N139" s="84">
        <f aca="true" t="shared" si="20" ref="N139:N144">SUMIF($F$5:$F$124,J139,$T$5:$T$124)+SUMIF($F$5:$F$124,J139,$U$5:$U$124)</f>
        <v>0</v>
      </c>
      <c r="O139" s="160" t="e">
        <f>_xlfn.COUNTIFS($Q$5:$Q$124,"勝ち",$F$5:$F$124,J139)/(COUNTIF($F$5:$F$124,J139)-_xlfn.COUNTIFS($F$5:$F$124,J139,$Q$5:$Q$124,"ドロー"))*100</f>
        <v>#DIV/0!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5">
        <f>G137/COUNTA(H5:H124)</f>
        <v>1268240.8000000005</v>
      </c>
      <c r="H140" s="256"/>
      <c r="J140" s="218" t="s">
        <v>110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5">
        <f>G139/COUNTA(H5:H124)</f>
        <v>1255317.0800000005</v>
      </c>
      <c r="H141" s="256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4"/>
      <c r="H142" s="245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4"/>
      <c r="H143" s="245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6">
        <f>MAX(T5:T124)</f>
        <v>2608</v>
      </c>
      <c r="H144" s="247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8">
        <f>G133/(G132-G135)</f>
        <v>0.92</v>
      </c>
      <c r="H145" s="249"/>
      <c r="J145" s="85" t="s">
        <v>33</v>
      </c>
      <c r="K145" s="86">
        <f>SUM(K139:K144)</f>
        <v>0</v>
      </c>
      <c r="L145" s="86">
        <f>SUM(L139:L144)</f>
        <v>0</v>
      </c>
      <c r="M145" s="86">
        <f>SUM(M139:M144)</f>
        <v>0</v>
      </c>
      <c r="N145" s="80">
        <f>SUM(N139:N144)</f>
        <v>0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2015-11-12T00:11:36Z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