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bookViews>
  <sheets>
    <sheet name="ルール＆合計" sheetId="3" r:id="rId1"/>
    <sheet name="デモトレ履歴" sheetId="2" r:id="rId2"/>
    <sheet name="画像01.11～" sheetId="22" r:id="rId3"/>
    <sheet name="気づき" sheetId="21" r:id="rId4"/>
    <sheet name="決まり事" sheetId="7" r:id="rId5"/>
    <sheet name="成績表" sheetId="9" r:id="rId6"/>
    <sheet name="画像01.04～" sheetId="20" r:id="rId7"/>
    <sheet name="気づき2015" sheetId="1" r:id="rId8"/>
    <sheet name="画像_原紙" sheetId="5" r:id="rId9"/>
  </sheets>
  <definedNames>
    <definedName name="_xlnm._FilterDatabase" localSheetId="1" hidden="1">デモトレ履歴!$A$1:$Q$30</definedName>
  </definedNames>
  <calcPr calcId="124519"/>
</workbook>
</file>

<file path=xl/calcChain.xml><?xml version="1.0" encoding="utf-8"?>
<calcChain xmlns="http://schemas.openxmlformats.org/spreadsheetml/2006/main">
  <c r="Q3" i="2"/>
  <c r="Q4" s="1"/>
  <c r="Q5" s="1"/>
  <c r="Q6" s="1"/>
  <c r="Q8" s="1"/>
  <c r="Q9" s="1"/>
  <c r="Q10" s="1"/>
  <c r="Q11" s="1"/>
  <c r="Q12" s="1"/>
  <c r="Q13" s="1"/>
  <c r="Q14" s="1"/>
  <c r="G63" i="9" l="1"/>
  <c r="F63"/>
  <c r="C4"/>
  <c r="A46" s="1"/>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F55" s="1"/>
  <c r="H54"/>
  <c r="H55" s="1"/>
  <c r="G54"/>
  <c r="G55" s="1"/>
  <c r="E54"/>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J10" s="1"/>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15" l="1"/>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62" i="2" l="1"/>
  <c r="O53"/>
  <c r="N53"/>
  <c r="M53"/>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<sst xmlns="http://schemas.openxmlformats.org/spreadsheetml/2006/main" count="420" uniqueCount="386">
  <si>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</si>
  <si>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</si>
  <si>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</si>
  <si>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</si>
  <si>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</si>
  <si>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</si>
  <si>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</si>
  <si>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</si>
  <si>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</si>
  <si>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</si>
  <si>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</si>
  <si>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</si>
  <si>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</si>
  <si>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</si>
  <si>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</si>
  <si>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</si>
  <si>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</si>
  <si>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</si>
  <si>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</si>
  <si>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</si>
  <si>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</si>
  <si>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</si>
  <si>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</si>
  <si>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</si>
  <si>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</si>
  <si>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</si>
  <si>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</si>
  <si>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</si>
  <si>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</si>
  <si>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</si>
  <si>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</si>
  <si>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</si>
  <si>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</si>
  <si>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</si>
  <si>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</si>
  <si>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</si>
  <si>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</si>
  <si>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</si>
  <si>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</si>
  <si>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</si>
  <si>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</si>
  <si>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</si>
  <si>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</si>
  <si>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</si>
  <si>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</si>
  <si>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</si>
  <si>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</si>
  <si>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</si>
  <si>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</si>
  <si>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</si>
  <si>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</si>
  <si>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</si>
  <si>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</si>
  <si>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</si>
  <si>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</si>
  <si>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</si>
  <si>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</si>
  <si>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</si>
  <si>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</si>
  <si>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</si>
  <si>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</si>
  <si>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</si>
  <si>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</si>
  <si>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</si>
  <si>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</si>
  <si>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</si>
  <si>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</si>
  <si>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</si>
  <si>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</si>
  <si>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</si>
  <si>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</si>
  <si>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</si>
  <si>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</si>
  <si>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</si>
  <si>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</si>
  <si>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</si>
  <si>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</si>
  <si>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</si>
  <si>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</si>
  <si>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</si>
  <si>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</si>
  <si>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</si>
  <si>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</si>
  <si>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</si>
  <si>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</si>
  <si>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EURGBP</t>
    <phoneticPr fontId="2"/>
  </si>
  <si>
    <t>sell</t>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</si>
  <si>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</si>
  <si>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</si>
  <si>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</si>
  <si>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</si>
  <si>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</si>
  <si>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</si>
  <si>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</si>
  <si>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</si>
  <si>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</si>
  <si>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</si>
  <si>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</si>
  <si>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</si>
  <si>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</si>
  <si>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</si>
  <si>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</si>
  <si>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</si>
  <si>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</si>
  <si>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</si>
  <si>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</si>
  <si>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</si>
  <si>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</si>
  <si>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</si>
  <si>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</si>
  <si>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</si>
  <si>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</si>
  <si>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</si>
  <si>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</si>
  <si>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</si>
  <si>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</si>
  <si>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</si>
  <si>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</si>
  <si>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</si>
  <si>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</si>
  <si>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</si>
  <si>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</si>
  <si>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</si>
  <si>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</si>
  <si>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デモトレ通貨</t>
    <rPh sb="4" eb="6">
      <t>ツウカ</t>
    </rPh>
    <phoneticPr fontId="2"/>
  </si>
  <si>
    <t>2015.10.05～</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</si>
  <si>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</si>
  <si>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</si>
  <si>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</si>
  <si>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</si>
  <si>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</si>
  <si>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</si>
  <si>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</si>
  <si>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</si>
  <si>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</si>
  <si>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</si>
  <si>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</si>
  <si>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</si>
  <si>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</si>
  <si>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</si>
  <si>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</si>
  <si>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</si>
  <si>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</si>
  <si>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</si>
  <si>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</si>
  <si>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</si>
  <si>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</si>
  <si>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</si>
  <si>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</si>
  <si>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</si>
  <si>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</si>
  <si>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</si>
  <si>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</si>
  <si>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</si>
  <si>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</si>
  <si>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</si>
  <si>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</si>
  <si>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</si>
  <si>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</si>
  <si>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</si>
  <si>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</si>
  <si>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</si>
  <si>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</si>
  <si>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</si>
  <si>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</si>
  <si>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</si>
  <si>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</si>
  <si>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</si>
  <si>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</si>
  <si>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</si>
  <si>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</si>
  <si>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</si>
  <si>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</si>
  <si>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</si>
  <si>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</si>
  <si>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</si>
  <si>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</si>
  <si>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</si>
  <si>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</si>
  <si>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</si>
  <si>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</si>
  <si>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</si>
  <si>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</si>
  <si>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</si>
  <si>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</si>
  <si>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</si>
  <si>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</si>
  <si>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</si>
  <si>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</si>
  <si>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</si>
  <si>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</si>
  <si>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</si>
  <si>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</si>
  <si>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</si>
  <si>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</si>
  <si>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</si>
  <si>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</si>
  <si>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</si>
  <si>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</si>
  <si>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</si>
  <si>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</si>
  <si>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</si>
  <si>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</si>
  <si>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</si>
  <si>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</si>
  <si>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</si>
  <si>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</si>
  <si>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</si>
  <si>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</si>
  <si>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</si>
  <si>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</si>
  <si>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</si>
  <si>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</si>
  <si>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</si>
  <si>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</si>
  <si>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</si>
  <si>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</si>
  <si>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</si>
  <si>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</si>
  <si>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</si>
  <si>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</si>
  <si>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</si>
  <si>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</si>
  <si>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</si>
  <si>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</si>
  <si>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</si>
  <si>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</si>
  <si>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</si>
  <si>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</si>
  <si>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</si>
  <si>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</si>
  <si>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</si>
  <si>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</si>
  <si>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天井、大底のみ狙うようにする</t>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</si>
  <si>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</si>
  <si>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</si>
  <si>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</si>
  <si>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</si>
  <si>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</si>
  <si>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</si>
  <si>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</si>
  <si>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</si>
  <si>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</si>
  <si>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</si>
  <si>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</si>
  <si>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</si>
  <si>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</si>
  <si>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</si>
  <si>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</si>
  <si>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</si>
  <si>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</si>
  <si>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</si>
  <si>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</si>
  <si>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</si>
  <si>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</si>
  <si>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</si>
  <si>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</si>
  <si>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</si>
  <si>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</si>
  <si>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</si>
  <si>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</si>
  <si>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</si>
  <si>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</si>
  <si>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</si>
  <si>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</si>
  <si>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</si>
  <si>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</si>
  <si>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</si>
  <si>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</si>
  <si>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</si>
  <si>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</si>
  <si>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</si>
  <si>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</si>
  <si>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</si>
  <si>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</si>
  <si>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</si>
  <si>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</si>
  <si>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</si>
  <si>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</si>
  <si>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</si>
  <si>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</si>
  <si>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</si>
  <si>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</si>
  <si>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</si>
  <si>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</si>
  <si>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今は１H足以下に潜る時は注意する</t>
    <rPh sb="0" eb="1">
      <t>イマ</t>
    </rPh>
    <rPh sb="4" eb="5">
      <t>アシ</t>
    </rPh>
    <rPh sb="5" eb="7">
      <t>イカ</t>
    </rPh>
    <rPh sb="8" eb="9">
      <t>モグ</t>
    </rPh>
    <rPh sb="10" eb="11">
      <t>トキ</t>
    </rPh>
    <rPh sb="12" eb="14">
      <t>チュウイ</t>
    </rPh>
    <phoneticPr fontId="2"/>
  </si>
  <si>
    <t>想定のトレードシナリオから外れた時点で決済する</t>
    <rPh sb="0" eb="2">
      <t>ソウテイ</t>
    </rPh>
    <rPh sb="13" eb="14">
      <t>ハズ</t>
    </rPh>
    <rPh sb="16" eb="18">
      <t>ジテン</t>
    </rPh>
    <rPh sb="19" eb="21">
      <t>ケッサイ</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</si>
  <si>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</si>
  <si>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</si>
  <si>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</si>
  <si>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</si>
  <si>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</si>
  <si>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</si>
  <si>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</si>
  <si>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</si>
  <si>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</si>
  <si>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</si>
  <si>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</si>
  <si>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</si>
  <si>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</si>
  <si>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</si>
  <si>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</si>
  <si>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</si>
  <si>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</si>
  <si>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</si>
  <si>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</si>
  <si>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</si>
  <si>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</si>
  <si>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</si>
  <si>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</si>
  <si>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</si>
  <si>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r>
      <t xml:space="preserve">D/Jの確認を忘れない
</t>
    </r>
    <r>
      <rPr>
        <b/>
        <sz val="11"/>
        <color rgb="FFFF0000"/>
        <rFont val="ＭＳ Ｐゴシック"/>
        <family val="3"/>
        <charset val="128"/>
      </rPr>
      <t>D/Jより強い要素を見逃さない</t>
    </r>
    <rPh sb="4" eb="6">
      <t>カクニン</t>
    </rPh>
    <rPh sb="7" eb="8">
      <t>ワス</t>
    </rPh>
    <rPh sb="17" eb="18">
      <t>ツヨ</t>
    </rPh>
    <rPh sb="19" eb="21">
      <t>ヨウソ</t>
    </rPh>
    <rPh sb="22" eb="24">
      <t>ミノガ</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</si>
  <si>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</si>
  <si>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</si>
  <si>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</si>
  <si>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</si>
  <si>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</si>
  <si>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</si>
  <si>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</si>
  <si>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</si>
  <si>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sell</t>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</si>
  <si>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</si>
  <si>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</si>
  <si>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</si>
  <si>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</si>
  <si>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</si>
  <si>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</si>
  <si>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</si>
  <si>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2016年</t>
    <rPh sb="4" eb="5">
      <t>ネン</t>
    </rPh>
    <phoneticPr fontId="2"/>
  </si>
  <si>
    <t>AUDCAD</t>
    <phoneticPr fontId="2"/>
  </si>
  <si>
    <t>AUDUSD</t>
    <phoneticPr fontId="2"/>
  </si>
  <si>
    <t>EURUSD</t>
    <phoneticPr fontId="2"/>
  </si>
  <si>
    <t>buy</t>
    <phoneticPr fontId="2"/>
  </si>
  <si>
    <t>01.06.05</t>
    <phoneticPr fontId="2"/>
  </si>
  <si>
    <t>01.04.03</t>
    <phoneticPr fontId="2"/>
  </si>
  <si>
    <t>01.06.09</t>
    <phoneticPr fontId="2"/>
  </si>
  <si>
    <t>01.06.10</t>
    <phoneticPr fontId="2"/>
  </si>
  <si>
    <t>01.04.10</t>
    <phoneticPr fontId="2"/>
  </si>
  <si>
    <t>01.06.05</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</si>
  <si>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</si>
  <si>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</si>
  <si>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</si>
  <si>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</si>
  <si>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drw</t>
    <phoneticPr fontId="2"/>
  </si>
  <si>
    <t>loss</t>
    <phoneticPr fontId="2"/>
  </si>
  <si>
    <t>・IN判断を精査する時間が無い時はスルー！</t>
    <rPh sb="3" eb="5">
      <t>ハンダン</t>
    </rPh>
    <rPh sb="6" eb="8">
      <t>セイサ</t>
    </rPh>
    <rPh sb="10" eb="12">
      <t>ジカン</t>
    </rPh>
    <rPh sb="13" eb="14">
      <t>ナ</t>
    </rPh>
    <rPh sb="15" eb="16">
      <t>トキ</t>
    </rPh>
    <phoneticPr fontId="2"/>
  </si>
  <si>
    <t>USDCAD</t>
    <phoneticPr fontId="2"/>
  </si>
  <si>
    <t>sell</t>
    <phoneticPr fontId="2"/>
  </si>
  <si>
    <t>01.07.04</t>
    <phoneticPr fontId="2"/>
  </si>
  <si>
    <t>01.07.05</t>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</si>
  <si>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</si>
  <si>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</si>
  <si>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</si>
  <si>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</si>
  <si>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</si>
  <si>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</si>
  <si>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NZDUSD</t>
    <phoneticPr fontId="2"/>
  </si>
  <si>
    <t>01.11.15</t>
    <phoneticPr fontId="2"/>
  </si>
  <si>
    <t>01.11.17</t>
    <phoneticPr fontId="2"/>
  </si>
  <si>
    <t>01.11.16</t>
    <phoneticPr fontId="2"/>
  </si>
  <si>
    <t>01.12.14</t>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</si>
  <si>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</si>
  <si>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</si>
  <si>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EURAUD</t>
    <phoneticPr fontId="2"/>
  </si>
  <si>
    <t>USDCHF</t>
    <phoneticPr fontId="2"/>
  </si>
  <si>
    <t>GBPJPY</t>
    <phoneticPr fontId="2"/>
  </si>
  <si>
    <t>buy</t>
    <phoneticPr fontId="2"/>
  </si>
  <si>
    <t>01.12.14</t>
    <phoneticPr fontId="2"/>
  </si>
  <si>
    <t>01.13.02</t>
    <phoneticPr fontId="2"/>
  </si>
  <si>
    <t>01.14.11</t>
    <phoneticPr fontId="2"/>
  </si>
  <si>
    <t>01.14.06</t>
    <phoneticPr fontId="2"/>
  </si>
  <si>
    <t>01.15.00</t>
    <phoneticPr fontId="2"/>
  </si>
  <si>
    <t>01.12.21</t>
    <phoneticPr fontId="2"/>
  </si>
  <si>
    <t>01.13.17</t>
    <phoneticPr fontId="2"/>
  </si>
  <si>
    <t>01.14.08</t>
    <phoneticPr fontId="2"/>
  </si>
  <si>
    <t>01.15.03</t>
    <phoneticPr fontId="2"/>
  </si>
  <si>
    <t>01.14.15</t>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</si>
  <si>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</si>
  <si>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</si>
  <si>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</si>
  <si>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</si>
  <si>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r>
      <t>　　　　　　　　　　　　　　　　　　　　　　　　　　　　　　　　　　　　　　　　　</t>
    </r>
    <r>
      <rPr>
        <b/>
        <sz val="11"/>
        <color indexed="8"/>
        <rFont val="ＭＳ Ｐゴシック"/>
        <family val="3"/>
        <charset val="128"/>
      </rPr>
      <t>エントリー時</t>
    </r>
    <r>
      <rPr>
        <sz val="11"/>
        <color indexed="8"/>
        <rFont val="ＭＳ Ｐゴシック"/>
        <family val="3"/>
        <charset val="128"/>
      </rPr>
      <t xml:space="preserve">
・週足で引いたS/Rに当たる部分を４H→１H足で確認。ウェッジ/フラッグになっていれば第一条件合格
・ウェッジ/フラッグをブレイク後、１５分足で原則２回目の戻り（セカンドストライク）を狙う。２回目の戻りがウェッジ+S/Rでブレイクなら
　フルリスクでIN、それ以外ならロットを落としてINする
・キレイなウェッジを伴ったFSであれば、１回目でも入る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 xml:space="preserve">・決済タイミングはFIB38.2を基準として、手前で頭打ちが確認できれば決済。素直に38.2まで到達したらトレーリング実施。
</t>
    </r>
    <r>
      <rPr>
        <sz val="11"/>
        <color rgb="FFFF0000"/>
        <rFont val="ＭＳ Ｐゴシック"/>
        <family val="3"/>
        <charset val="128"/>
      </rPr>
      <t>・エントリールールは原則上記ルールのみとする。
・例外的に４H足でのウェッジブレイクがH＆Sのブレイクと重なった場合には、ロットを落として入ってみる。</t>
    </r>
    <rPh sb="46" eb="47">
      <t>ジ</t>
    </rPh>
    <rPh sb="72" eb="74">
      <t>カクニン</t>
    </rPh>
    <rPh sb="91" eb="93">
      <t>ダイイチ</t>
    </rPh>
    <rPh sb="93" eb="95">
      <t>ジョウケン</t>
    </rPh>
    <rPh sb="95" eb="97">
      <t>ゴウカク</t>
    </rPh>
    <rPh sb="113" eb="114">
      <t>アト</t>
    </rPh>
    <rPh sb="117" eb="118">
      <t>フン</t>
    </rPh>
    <rPh sb="118" eb="119">
      <t>アシ</t>
    </rPh>
    <rPh sb="126" eb="127">
      <t>モド</t>
    </rPh>
    <rPh sb="144" eb="146">
      <t>カイメ</t>
    </rPh>
    <rPh sb="147" eb="148">
      <t>モド</t>
    </rPh>
    <rPh sb="178" eb="180">
      <t>イガイ</t>
    </rPh>
    <rPh sb="186" eb="187">
      <t>オ</t>
    </rPh>
    <rPh sb="234" eb="235">
      <t>ス</t>
    </rPh>
    <rPh sb="279" eb="281">
      <t>キジュン</t>
    </rPh>
    <rPh sb="285" eb="287">
      <t>テマエ</t>
    </rPh>
    <rPh sb="288" eb="290">
      <t>アタマウ</t>
    </rPh>
    <rPh sb="292" eb="294">
      <t>カクニン</t>
    </rPh>
    <rPh sb="298" eb="300">
      <t>ケッサイ</t>
    </rPh>
    <rPh sb="301" eb="303">
      <t>スナオ</t>
    </rPh>
    <rPh sb="310" eb="312">
      <t>トウタツ</t>
    </rPh>
    <rPh sb="321" eb="323">
      <t>ジッシ</t>
    </rPh>
    <rPh sb="335" eb="337">
      <t>ゲンソク</t>
    </rPh>
    <rPh sb="337" eb="339">
      <t>ジョウキ</t>
    </rPh>
    <rPh sb="350" eb="352">
      <t>レイガイ</t>
    </rPh>
    <rPh sb="352" eb="353">
      <t>テキ</t>
    </rPh>
    <rPh sb="356" eb="357">
      <t>アシ</t>
    </rPh>
    <rPh sb="377" eb="378">
      <t>カサ</t>
    </rPh>
    <rPh sb="381" eb="383">
      <t>バアイ</t>
    </rPh>
    <rPh sb="390" eb="391">
      <t>オ</t>
    </rPh>
    <rPh sb="394" eb="395">
      <t>ハイ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</si>
  <si>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</si>
  <si>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</si>
  <si>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r>
      <t xml:space="preserve">2016.01.04
</t>
    </r>
    <r>
      <rPr>
        <sz val="11"/>
        <color rgb="FFFF0000"/>
        <rFont val="ＭＳ Ｐゴシック"/>
        <family val="3"/>
        <charset val="128"/>
      </rPr>
      <t xml:space="preserve">追記01.11～
</t>
    </r>
    <r>
      <rPr>
        <b/>
        <sz val="11"/>
        <color rgb="FFFF0000"/>
        <rFont val="ＭＳ Ｐゴシック"/>
        <family val="3"/>
        <charset val="128"/>
      </rPr>
      <t>追記01.18～</t>
    </r>
    <rPh sb="11" eb="13">
      <t>ツイキ</t>
    </rPh>
    <rPh sb="20" eb="22">
      <t>ツイキ</t>
    </rPh>
    <phoneticPr fontId="2"/>
  </si>
  <si>
    <r>
      <t>　　　　　　　　　　　　　　　　　　　　　　　　　　　　　　　　　　　　　　　　</t>
    </r>
    <r>
      <rPr>
        <sz val="11"/>
        <color rgb="FFFF0000"/>
        <rFont val="ＭＳ Ｐゴシック"/>
        <family val="3"/>
        <charset val="128"/>
      </rPr>
      <t>　</t>
    </r>
    <r>
      <rPr>
        <b/>
        <sz val="11"/>
        <color rgb="FFFF0000"/>
        <rFont val="ＭＳ Ｐゴシック"/>
        <family val="3"/>
        <charset val="128"/>
      </rPr>
      <t>決済時</t>
    </r>
    <r>
      <rPr>
        <b/>
        <sz val="11"/>
        <color indexed="8"/>
        <rFont val="ＭＳ Ｐゴシック"/>
        <family val="3"/>
        <charset val="128"/>
      </rPr>
      <t xml:space="preserve">
</t>
    </r>
    <r>
      <rPr>
        <b/>
        <sz val="11"/>
        <color rgb="FFFF0000"/>
        <rFont val="ＭＳ Ｐゴシック"/>
        <family val="3"/>
        <charset val="128"/>
      </rPr>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・IN後急な伸びが無かった場合、逆行することが多い。建値撤退の準備をする。
・T/Lに支えられて逆行している場合はブレイクを期待して持っていて良いが、T/Lから剥離する急上昇（急下落）になった場合は
　強い逆行となる為、すぐに決済する！</t>
    </r>
    <rPh sb="41" eb="43">
      <t>ケッサイ</t>
    </rPh>
    <rPh sb="43" eb="44">
      <t>ジ</t>
    </rPh>
    <phoneticPr fontId="2"/>
  </si>
</sst>
</file>

<file path=xl/styles.xml><?xml version="1.0" encoding="utf-8"?>
<styleSheet xmlns="http://schemas.openxmlformats.org/spreadsheetml/2006/main">
  <numFmts count="9">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s>
  <fonts count="26">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
      <sz val="9"/>
      <color indexed="8"/>
      <name val="ＭＳ Ｐゴシック"/>
      <family val="3"/>
      <charset val="128"/>
    </font>
    <font>
      <sz val="11"/>
      <color rgb="FFFF0000"/>
      <name val="ＭＳ Ｐゴシック"/>
      <family val="3"/>
      <charset val="128"/>
    </font>
  </fonts>
  <fills count="10">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13">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Border="1">
      <alignment vertical="center"/>
    </xf>
    <xf numFmtId="0" fontId="9" fillId="0" borderId="0" xfId="0" applyNumberFormat="1" applyFont="1" applyFill="1" applyBorder="1" applyAlignment="1" applyProtection="1">
      <alignment horizontal="center" vertical="center"/>
    </xf>
    <xf numFmtId="176" fontId="9" fillId="0" borderId="0" xfId="0" applyNumberFormat="1" applyFont="1" applyFill="1" applyBorder="1" applyAlignment="1" applyProtection="1">
      <alignment horizontal="left" vertical="center"/>
    </xf>
    <xf numFmtId="177" fontId="9" fillId="4" borderId="8" xfId="0" applyNumberFormat="1" applyFont="1" applyFill="1" applyBorder="1" applyAlignment="1" applyProtection="1">
      <alignment horizontal="center" vertical="center"/>
    </xf>
    <xf numFmtId="177" fontId="9" fillId="4"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4" borderId="8" xfId="0" applyNumberFormat="1" applyFont="1" applyFill="1" applyBorder="1" applyAlignment="1" applyProtection="1">
      <alignment horizontal="center" vertical="center"/>
    </xf>
    <xf numFmtId="176" fontId="9" fillId="4" borderId="33" xfId="0" applyNumberFormat="1" applyFont="1" applyFill="1" applyBorder="1" applyAlignment="1" applyProtection="1">
      <alignment horizontal="left" vertical="center"/>
    </xf>
    <xf numFmtId="0" fontId="9" fillId="4" borderId="10" xfId="0" applyNumberFormat="1" applyFont="1" applyFill="1" applyBorder="1" applyAlignment="1" applyProtection="1">
      <alignment horizontal="center" vertical="center"/>
    </xf>
    <xf numFmtId="176" fontId="0" fillId="0" borderId="15" xfId="0" applyNumberFormat="1" applyFont="1" applyFill="1" applyBorder="1" applyAlignment="1" applyProtection="1">
      <alignment vertical="center"/>
    </xf>
    <xf numFmtId="0" fontId="0" fillId="0" borderId="16"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0" fontId="0" fillId="0" borderId="35" xfId="0" applyNumberFormat="1" applyFont="1" applyFill="1" applyBorder="1" applyAlignment="1" applyProtection="1">
      <alignment horizontal="center" vertical="center"/>
    </xf>
    <xf numFmtId="176" fontId="0" fillId="0" borderId="20"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36" xfId="0" applyNumberFormat="1" applyFont="1" applyFill="1" applyBorder="1" applyAlignment="1" applyProtection="1">
      <alignment horizontal="center" vertical="center"/>
    </xf>
    <xf numFmtId="176" fontId="0" fillId="0" borderId="37"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38" xfId="0" applyNumberFormat="1" applyFont="1" applyFill="1" applyBorder="1" applyAlignment="1" applyProtection="1">
      <alignment horizontal="left" vertical="center"/>
    </xf>
    <xf numFmtId="0" fontId="0" fillId="0" borderId="39"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42" xfId="0" applyBorder="1">
      <alignment vertical="center"/>
    </xf>
    <xf numFmtId="0" fontId="0" fillId="0" borderId="3" xfId="0" applyFill="1" applyBorder="1" applyAlignment="1">
      <alignment vertical="center"/>
    </xf>
    <xf numFmtId="0" fontId="0" fillId="0" borderId="22" xfId="0" applyFill="1" applyBorder="1" applyAlignment="1">
      <alignment vertical="center"/>
    </xf>
    <xf numFmtId="0" fontId="0" fillId="0" borderId="0" xfId="0" applyAlignment="1">
      <alignment vertical="center"/>
    </xf>
    <xf numFmtId="0" fontId="0" fillId="0" borderId="0" xfId="0" applyAlignment="1">
      <alignment horizontal="righ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0" fontId="0" fillId="0" borderId="42" xfId="0" applyFill="1" applyBorder="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5" borderId="42" xfId="0" applyFont="1" applyFill="1" applyBorder="1">
      <alignment vertical="center"/>
    </xf>
    <xf numFmtId="0" fontId="14" fillId="5" borderId="3" xfId="0" applyFont="1" applyFill="1" applyBorder="1">
      <alignment vertical="center"/>
    </xf>
    <xf numFmtId="0" fontId="14" fillId="5" borderId="3" xfId="0" applyFont="1" applyFill="1" applyBorder="1" applyAlignment="1">
      <alignment vertical="center" wrapText="1"/>
    </xf>
    <xf numFmtId="0" fontId="14" fillId="5"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5" borderId="22" xfId="0" applyFont="1" applyFill="1" applyBorder="1">
      <alignment vertical="center"/>
    </xf>
    <xf numFmtId="181" fontId="14" fillId="6" borderId="22" xfId="0" applyNumberFormat="1" applyFont="1" applyFill="1" applyBorder="1">
      <alignment vertical="center"/>
    </xf>
    <xf numFmtId="0" fontId="14" fillId="6"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6" borderId="22" xfId="0" applyNumberFormat="1" applyFont="1" applyFill="1" applyBorder="1">
      <alignment vertical="center"/>
    </xf>
    <xf numFmtId="0" fontId="14" fillId="5"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6" borderId="22" xfId="0" applyNumberFormat="1" applyFont="1" applyFill="1" applyBorder="1">
      <alignment vertical="center"/>
    </xf>
    <xf numFmtId="0" fontId="17" fillId="0" borderId="0" xfId="0" applyFont="1">
      <alignment vertical="center"/>
    </xf>
    <xf numFmtId="0" fontId="18" fillId="7" borderId="0" xfId="0" applyFont="1" applyFill="1">
      <alignment vertical="center"/>
    </xf>
    <xf numFmtId="0" fontId="18" fillId="7"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9" borderId="0" xfId="0" applyFill="1">
      <alignment vertical="center"/>
    </xf>
    <xf numFmtId="183" fontId="0" fillId="0" borderId="0" xfId="0" applyNumberFormat="1" applyAlignment="1">
      <alignment horizontal="lef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0" fillId="0" borderId="22" xfId="0" applyFill="1" applyBorder="1" applyAlignment="1">
      <alignment vertical="center" wrapText="1"/>
    </xf>
    <xf numFmtId="0" fontId="23" fillId="0" borderId="0" xfId="0" applyFont="1" applyAlignment="1">
      <alignment horizontal="left" vertical="center"/>
    </xf>
    <xf numFmtId="0" fontId="5" fillId="0" borderId="22" xfId="0" applyFont="1" applyBorder="1" applyAlignment="1">
      <alignment vertical="center" wrapText="1"/>
    </xf>
    <xf numFmtId="0" fontId="20" fillId="0" borderId="3" xfId="0" applyFont="1" applyBorder="1" applyAlignment="1">
      <alignment vertical="center" wrapText="1"/>
    </xf>
    <xf numFmtId="178" fontId="0" fillId="0" borderId="0" xfId="0" applyNumberFormat="1" applyFill="1">
      <alignment vertical="center"/>
    </xf>
    <xf numFmtId="0" fontId="0" fillId="0" borderId="0" xfId="0" applyFill="1" applyAlignment="1">
      <alignment horizontal="center" vertical="center"/>
    </xf>
    <xf numFmtId="0" fontId="8" fillId="0" borderId="0" xfId="0" applyNumberFormat="1" applyFont="1" applyFill="1" applyBorder="1" applyAlignment="1" applyProtection="1">
      <alignment horizontal="center" vertical="center"/>
    </xf>
    <xf numFmtId="177" fontId="0" fillId="0" borderId="0" xfId="0" applyNumberFormat="1" applyFont="1" applyFill="1" applyBorder="1" applyAlignment="1" applyProtection="1">
      <alignment horizontal="center" vertical="center"/>
    </xf>
    <xf numFmtId="0" fontId="0" fillId="0" borderId="0" xfId="0" applyNumberFormat="1" applyFill="1" applyBorder="1" applyAlignment="1" applyProtection="1">
      <alignment horizontal="left" vertical="center"/>
    </xf>
    <xf numFmtId="0" fontId="0" fillId="0" borderId="0" xfId="0" applyNumberFormat="1" applyFill="1" applyBorder="1" applyAlignment="1" applyProtection="1">
      <alignment horizontal="center" vertical="center"/>
    </xf>
    <xf numFmtId="0" fontId="0" fillId="3" borderId="8" xfId="0" applyNumberFormat="1"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NumberFormat="1" applyFont="1" applyFill="1" applyBorder="1" applyAlignment="1" applyProtection="1">
      <alignment horizontal="right" vertical="center"/>
    </xf>
    <xf numFmtId="176" fontId="0" fillId="0" borderId="0" xfId="0" applyNumberFormat="1" applyFill="1" applyBorder="1" applyAlignment="1" applyProtection="1">
      <alignment horizontal="left" vertical="center"/>
    </xf>
    <xf numFmtId="0" fontId="0" fillId="0" borderId="0" xfId="0" applyFill="1" applyBorder="1" applyAlignment="1">
      <alignment horizontal="center" vertical="center"/>
    </xf>
    <xf numFmtId="177" fontId="0" fillId="0" borderId="0" xfId="0" applyNumberFormat="1" applyFont="1" applyFill="1" applyBorder="1" applyAlignment="1" applyProtection="1">
      <alignment horizontal="right" vertical="center"/>
    </xf>
    <xf numFmtId="0" fontId="0" fillId="0" borderId="22" xfId="0" applyBorder="1" applyAlignment="1">
      <alignment vertical="center" wrapText="1"/>
    </xf>
    <xf numFmtId="0" fontId="0" fillId="0" borderId="22" xfId="0" applyBorder="1" applyAlignment="1">
      <alignment vertical="center"/>
    </xf>
    <xf numFmtId="0" fontId="5" fillId="0" borderId="54" xfId="0" applyFont="1"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0" fillId="0" borderId="22" xfId="0" applyBorder="1" applyAlignment="1">
      <alignment horizontal="center" vertical="center"/>
    </xf>
    <xf numFmtId="0" fontId="0" fillId="0" borderId="3" xfId="0" applyBorder="1" applyAlignment="1">
      <alignment vertical="center" wrapText="1"/>
    </xf>
    <xf numFmtId="0" fontId="0" fillId="0" borderId="3" xfId="0" applyBorder="1" applyAlignment="1">
      <alignment vertical="center"/>
    </xf>
    <xf numFmtId="0" fontId="5" fillId="0" borderId="22" xfId="0" applyFont="1" applyBorder="1" applyAlignment="1">
      <alignment vertical="center" wrapText="1"/>
    </xf>
    <xf numFmtId="0" fontId="0" fillId="0" borderId="22" xfId="0" applyFill="1" applyBorder="1" applyAlignment="1">
      <alignment vertical="center" wrapText="1"/>
    </xf>
    <xf numFmtId="0" fontId="0" fillId="0" borderId="22" xfId="0" applyFill="1" applyBorder="1" applyAlignment="1">
      <alignment vertical="center"/>
    </xf>
    <xf numFmtId="9" fontId="0" fillId="0" borderId="29" xfId="0" applyNumberFormat="1" applyBorder="1" applyAlignment="1">
      <alignment vertical="center"/>
    </xf>
    <xf numFmtId="0" fontId="0" fillId="0" borderId="30" xfId="0" applyBorder="1" applyAlignment="1">
      <alignment vertical="center"/>
    </xf>
    <xf numFmtId="0" fontId="9" fillId="4" borderId="7" xfId="0" applyNumberFormat="1" applyFont="1" applyFill="1" applyBorder="1" applyAlignment="1" applyProtection="1">
      <alignment horizontal="center" vertical="center"/>
    </xf>
    <xf numFmtId="0" fontId="9" fillId="4" borderId="8" xfId="0" applyNumberFormat="1" applyFont="1" applyFill="1" applyBorder="1" applyAlignment="1" applyProtection="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4" borderId="11" xfId="0" applyNumberFormat="1" applyFont="1" applyFill="1" applyBorder="1" applyAlignment="1" applyProtection="1">
      <alignment horizontal="center" vertical="center"/>
    </xf>
    <xf numFmtId="0" fontId="9" fillId="4"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0" fillId="0" borderId="17" xfId="0" applyBorder="1" applyAlignment="1">
      <alignment horizontal="right" vertical="center"/>
    </xf>
    <xf numFmtId="0" fontId="0" fillId="0" borderId="18" xfId="0" applyBorder="1" applyAlignment="1">
      <alignment horizontal="righ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5" borderId="21" xfId="0" applyFont="1" applyFill="1" applyBorder="1" applyAlignment="1">
      <alignment horizontal="center" vertical="center"/>
    </xf>
    <xf numFmtId="0" fontId="14" fillId="5" borderId="54" xfId="0" applyFont="1" applyFill="1" applyBorder="1" applyAlignment="1">
      <alignment horizontal="center" vertical="center"/>
    </xf>
    <xf numFmtId="0" fontId="14" fillId="5" borderId="55" xfId="0" applyFont="1" applyFill="1" applyBorder="1" applyAlignment="1">
      <alignment horizontal="center" vertical="center"/>
    </xf>
    <xf numFmtId="0" fontId="14" fillId="5" borderId="22" xfId="0" applyFont="1" applyFill="1" applyBorder="1" applyAlignment="1">
      <alignment horizontal="center" vertical="center" wrapText="1"/>
    </xf>
    <xf numFmtId="0" fontId="14" fillId="5" borderId="22" xfId="0" applyFont="1" applyFill="1" applyBorder="1" applyAlignment="1">
      <alignment horizontal="center" vertical="center"/>
    </xf>
    <xf numFmtId="0" fontId="19" fillId="8"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6"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xf numFmtId="0" fontId="0" fillId="2" borderId="56" xfId="0" applyFill="1" applyBorder="1" applyAlignment="1">
      <alignment vertical="center"/>
    </xf>
    <xf numFmtId="0" fontId="0" fillId="0" borderId="42" xfId="0" applyBorder="1" applyAlignment="1">
      <alignment vertical="center"/>
    </xf>
    <xf numFmtId="0" fontId="0" fillId="0" borderId="1" xfId="0" applyFill="1" applyBorder="1" applyAlignment="1">
      <alignment vertical="center"/>
    </xf>
    <xf numFmtId="0" fontId="0" fillId="0" borderId="1" xfId="0" applyFill="1" applyBorder="1" applyAlignment="1">
      <alignment vertical="center" wrapText="1"/>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0</c:v>
                </c:pt>
                <c:pt idx="1">
                  <c:v>0</c:v>
                </c:pt>
                <c:pt idx="2">
                  <c:v>0</c:v>
                </c:pt>
                <c:pt idx="3">
                  <c:v>0</c:v>
                </c:pt>
                <c:pt idx="4">
                  <c:v>17800</c:v>
                </c:pt>
                <c:pt idx="5">
                  <c:v>6322</c:v>
                </c:pt>
                <c:pt idx="6">
                  <c:v>5511</c:v>
                </c:pt>
                <c:pt idx="7">
                  <c:v>0</c:v>
                </c:pt>
                <c:pt idx="8">
                  <c:v>10079</c:v>
                </c:pt>
                <c:pt idx="9">
                  <c:v>0</c:v>
                </c:pt>
                <c:pt idx="10">
                  <c:v>0</c:v>
                </c:pt>
                <c:pt idx="11">
                  <c:v>0</c:v>
                </c:pt>
                <c:pt idx="12">
                  <c:v>0</c:v>
                </c:pt>
                <c:pt idx="13">
                  <c:v>7439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axId val="49955968"/>
        <c:axId val="49957504"/>
      </c:barChart>
      <c:catAx>
        <c:axId val="49955968"/>
        <c:scaling>
          <c:orientation val="minMax"/>
        </c:scaling>
        <c:axPos val="b"/>
        <c:majorTickMark val="none"/>
        <c:tickLblPos val="nextTo"/>
        <c:crossAx val="49957504"/>
        <c:crosses val="autoZero"/>
        <c:auto val="1"/>
        <c:lblAlgn val="ctr"/>
        <c:lblOffset val="100"/>
      </c:catAx>
      <c:valAx>
        <c:axId val="49957504"/>
        <c:scaling>
          <c:orientation val="minMax"/>
        </c:scaling>
        <c:axPos val="l"/>
        <c:majorGridlines/>
        <c:numFmt formatCode="&quot;¥&quot;#,##0;[Red]\-&quot;¥&quot;#,##0" sourceLinked="1"/>
        <c:majorTickMark val="none"/>
        <c:tickLblPos val="nextTo"/>
        <c:crossAx val="49955968"/>
        <c:crosses val="autoZero"/>
        <c:crossBetween val="between"/>
      </c:valAx>
    </c:plotArea>
    <c:legend>
      <c:legendPos val="r"/>
      <c:layout/>
    </c:legend>
    <c:plotVisOnly val="1"/>
    <c:dispBlanksAs val="gap"/>
  </c:chart>
  <c:printSettings>
    <c:headerFooter/>
    <c:pageMargins b="0.75000000000000522" l="0.70000000000000062" r="0.70000000000000062" t="0.750000000000005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017"/>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49726976"/>
        <c:axId val="49728512"/>
      </c:lineChart>
      <c:dateAx>
        <c:axId val="49726976"/>
        <c:scaling>
          <c:orientation val="minMax"/>
        </c:scaling>
        <c:axPos val="b"/>
        <c:numFmt formatCode="yyyy&quot;年&quot;mm&quot;月&quot;" sourceLinked="1"/>
        <c:majorTickMark val="none"/>
        <c:tickLblPos val="nextTo"/>
        <c:crossAx val="49728512"/>
        <c:crosses val="autoZero"/>
        <c:auto val="1"/>
        <c:lblOffset val="100"/>
        <c:baseTimeUnit val="months"/>
      </c:dateAx>
      <c:valAx>
        <c:axId val="49728512"/>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223"/>
            </c:manualLayout>
          </c:layout>
        </c:title>
        <c:numFmt formatCode="&quot;¥&quot;#,##0;\-&quot;¥&quot;#,##0" sourceLinked="1"/>
        <c:majorTickMark val="none"/>
        <c:tickLblPos val="nextTo"/>
        <c:crossAx val="49726976"/>
        <c:crosses val="autoZero"/>
        <c:crossBetween val="between"/>
      </c:valAx>
    </c:plotArea>
    <c:legend>
      <c:legendPos val="r"/>
    </c:legend>
    <c:plotVisOnly val="1"/>
    <c:dispBlanksAs val="gap"/>
  </c:chart>
  <c:printSettings>
    <c:headerFooter/>
    <c:pageMargins b="0.75000000000000522" l="0.70000000000000062" r="0.70000000000000062" t="0.75000000000000522"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161924</xdr:colOff>
      <xdr:row>28</xdr:row>
      <xdr:rowOff>88376</xdr:rowOff>
    </xdr:to>
    <xdr:pic>
      <xdr:nvPicPr>
        <xdr:cNvPr id="10242" name="Picture 2"/>
        <xdr:cNvPicPr>
          <a:picLocks noChangeAspect="1" noChangeArrowheads="1"/>
        </xdr:cNvPicPr>
      </xdr:nvPicPr>
      <xdr:blipFill>
        <a:blip xmlns:r="http://schemas.openxmlformats.org/officeDocument/2006/relationships" r:embed="rId1"/>
        <a:srcRect l="5198" t="19982" b="13180"/>
        <a:stretch>
          <a:fillRect/>
        </a:stretch>
      </xdr:blipFill>
      <xdr:spPr bwMode="auto">
        <a:xfrm>
          <a:off x="0" y="0"/>
          <a:ext cx="12357852" cy="4762500"/>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xdr:from>
      <xdr:col>0</xdr:col>
      <xdr:colOff>127655</xdr:colOff>
      <xdr:row>1</xdr:row>
      <xdr:rowOff>68737</xdr:rowOff>
    </xdr:from>
    <xdr:to>
      <xdr:col>1</xdr:col>
      <xdr:colOff>454310</xdr:colOff>
      <xdr:row>3</xdr:row>
      <xdr:rowOff>11515</xdr:rowOff>
    </xdr:to>
    <xdr:sp macro="" textlink="">
      <xdr:nvSpPr>
        <xdr:cNvPr id="36" name="テキスト ボックス 35"/>
        <xdr:cNvSpPr txBox="1"/>
      </xdr:nvSpPr>
      <xdr:spPr>
        <a:xfrm>
          <a:off x="127655" y="23567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No.6,7</a:t>
          </a:r>
        </a:p>
      </xdr:txBody>
    </xdr:sp>
    <xdr:clientData/>
  </xdr:twoCellAnchor>
  <xdr:twoCellAnchor>
    <xdr:from>
      <xdr:col>3</xdr:col>
      <xdr:colOff>529691</xdr:colOff>
      <xdr:row>3</xdr:row>
      <xdr:rowOff>152010</xdr:rowOff>
    </xdr:from>
    <xdr:to>
      <xdr:col>5</xdr:col>
      <xdr:colOff>368723</xdr:colOff>
      <xdr:row>8</xdr:row>
      <xdr:rowOff>29460</xdr:rowOff>
    </xdr:to>
    <xdr:sp macro="" textlink="">
      <xdr:nvSpPr>
        <xdr:cNvPr id="37" name="角丸四角形吹き出し 36"/>
        <xdr:cNvSpPr/>
      </xdr:nvSpPr>
      <xdr:spPr>
        <a:xfrm>
          <a:off x="2562346" y="652809"/>
          <a:ext cx="1194135" cy="712115"/>
        </a:xfrm>
        <a:prstGeom prst="wedgeRoundRectCallout">
          <a:avLst>
            <a:gd name="adj1" fmla="val -76875"/>
            <a:gd name="adj2" fmla="val 953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日足ウェッジブレイク</a:t>
          </a:r>
        </a:p>
      </xdr:txBody>
    </xdr:sp>
    <xdr:clientData/>
  </xdr:twoCellAnchor>
  <xdr:twoCellAnchor>
    <xdr:from>
      <xdr:col>0</xdr:col>
      <xdr:colOff>128342</xdr:colOff>
      <xdr:row>3</xdr:row>
      <xdr:rowOff>56882</xdr:rowOff>
    </xdr:from>
    <xdr:to>
      <xdr:col>2</xdr:col>
      <xdr:colOff>424123</xdr:colOff>
      <xdr:row>7</xdr:row>
      <xdr:rowOff>98196</xdr:rowOff>
    </xdr:to>
    <xdr:sp macro="" textlink="">
      <xdr:nvSpPr>
        <xdr:cNvPr id="38" name="テキスト ボックス 37"/>
        <xdr:cNvSpPr txBox="1"/>
      </xdr:nvSpPr>
      <xdr:spPr>
        <a:xfrm>
          <a:off x="128342" y="557681"/>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週足レベルのウェッジブレイク後、２回目の戻りで</a:t>
          </a:r>
          <a:r>
            <a:rPr kumimoji="1" lang="en-US" altLang="ja-JP" sz="1100"/>
            <a:t>IN</a:t>
          </a:r>
          <a:r>
            <a:rPr kumimoji="1" lang="ja-JP" altLang="en-US" sz="1100"/>
            <a:t>を狙った</a:t>
          </a:r>
          <a:endParaRPr kumimoji="1" lang="en-US" altLang="ja-JP" sz="1100"/>
        </a:p>
      </xdr:txBody>
    </xdr:sp>
    <xdr:clientData/>
  </xdr:twoCellAnchor>
  <xdr:twoCellAnchor>
    <xdr:from>
      <xdr:col>7</xdr:col>
      <xdr:colOff>549897</xdr:colOff>
      <xdr:row>10</xdr:row>
      <xdr:rowOff>157113</xdr:rowOff>
    </xdr:from>
    <xdr:to>
      <xdr:col>9</xdr:col>
      <xdr:colOff>98196</xdr:colOff>
      <xdr:row>16</xdr:row>
      <xdr:rowOff>157113</xdr:rowOff>
    </xdr:to>
    <xdr:cxnSp macro="">
      <xdr:nvCxnSpPr>
        <xdr:cNvPr id="41" name="直線コネクタ 40"/>
        <xdr:cNvCxnSpPr/>
      </xdr:nvCxnSpPr>
      <xdr:spPr>
        <a:xfrm rot="5400000" flipH="1" flipV="1">
          <a:off x="5243660" y="1875541"/>
          <a:ext cx="1001598" cy="90340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132194</xdr:colOff>
      <xdr:row>6</xdr:row>
      <xdr:rowOff>117836</xdr:rowOff>
    </xdr:from>
    <xdr:to>
      <xdr:col>10</xdr:col>
      <xdr:colOff>648778</xdr:colOff>
      <xdr:row>11</xdr:row>
      <xdr:rowOff>34567</xdr:rowOff>
    </xdr:to>
    <xdr:sp macro="" textlink="">
      <xdr:nvSpPr>
        <xdr:cNvPr id="45" name="角丸四角形吹き出し 44"/>
        <xdr:cNvSpPr/>
      </xdr:nvSpPr>
      <xdr:spPr>
        <a:xfrm>
          <a:off x="6230158" y="1119434"/>
          <a:ext cx="1194135" cy="751396"/>
        </a:xfrm>
        <a:prstGeom prst="wedgeRoundRectCallout">
          <a:avLst>
            <a:gd name="adj1" fmla="val -76875"/>
            <a:gd name="adj2" fmla="val 914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a:t>
          </a:r>
          <a:r>
            <a:rPr kumimoji="1" lang="en-US" altLang="ja-JP" sz="1100"/>
            <a:t>T/L</a:t>
          </a:r>
          <a:r>
            <a:rPr kumimoji="1" lang="ja-JP" altLang="en-US" sz="1100"/>
            <a:t>ブレイクで</a:t>
          </a:r>
          <a:r>
            <a:rPr kumimoji="1" lang="en-US" altLang="ja-JP" sz="1100"/>
            <a:t>No.6IN</a:t>
          </a:r>
          <a:r>
            <a:rPr kumimoji="1" lang="ja-JP" altLang="en-US" sz="1100"/>
            <a:t>。</a:t>
          </a:r>
          <a:endParaRPr kumimoji="1" lang="en-US" altLang="ja-JP" sz="1100"/>
        </a:p>
        <a:p>
          <a:pPr algn="ctr"/>
          <a:r>
            <a:rPr kumimoji="1" lang="ja-JP" altLang="en-US" sz="1100"/>
            <a:t>その後レンジで建値撤退</a:t>
          </a:r>
        </a:p>
      </xdr:txBody>
    </xdr:sp>
    <xdr:clientData/>
  </xdr:twoCellAnchor>
  <xdr:twoCellAnchor>
    <xdr:from>
      <xdr:col>7</xdr:col>
      <xdr:colOff>235496</xdr:colOff>
      <xdr:row>17</xdr:row>
      <xdr:rowOff>132762</xdr:rowOff>
    </xdr:from>
    <xdr:to>
      <xdr:col>9</xdr:col>
      <xdr:colOff>74528</xdr:colOff>
      <xdr:row>22</xdr:row>
      <xdr:rowOff>49493</xdr:rowOff>
    </xdr:to>
    <xdr:sp macro="" textlink="">
      <xdr:nvSpPr>
        <xdr:cNvPr id="46" name="角丸四角形吹き出し 45"/>
        <xdr:cNvSpPr/>
      </xdr:nvSpPr>
      <xdr:spPr>
        <a:xfrm>
          <a:off x="4978357" y="2970623"/>
          <a:ext cx="1194135" cy="751396"/>
        </a:xfrm>
        <a:prstGeom prst="wedgeRoundRectCallout">
          <a:avLst>
            <a:gd name="adj1" fmla="val 44829"/>
            <a:gd name="adj2" fmla="val -1203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意識されてそうな</a:t>
          </a:r>
          <a:r>
            <a:rPr kumimoji="1" lang="en-US" altLang="ja-JP" sz="1100"/>
            <a:t>S/R</a:t>
          </a:r>
          <a:r>
            <a:rPr kumimoji="1" lang="ja-JP" altLang="en-US" sz="1100"/>
            <a:t>下抜きで</a:t>
          </a:r>
          <a:r>
            <a:rPr kumimoji="1" lang="en-US" altLang="ja-JP" sz="1100"/>
            <a:t>No.7IN</a:t>
          </a:r>
          <a:r>
            <a:rPr kumimoji="1" lang="ja-JP" altLang="en-US" sz="1100"/>
            <a:t>。</a:t>
          </a:r>
        </a:p>
      </xdr:txBody>
    </xdr:sp>
    <xdr:clientData/>
  </xdr:twoCellAnchor>
  <xdr:twoCellAnchor>
    <xdr:from>
      <xdr:col>14</xdr:col>
      <xdr:colOff>93308</xdr:colOff>
      <xdr:row>9</xdr:row>
      <xdr:rowOff>78951</xdr:rowOff>
    </xdr:from>
    <xdr:to>
      <xdr:col>15</xdr:col>
      <xdr:colOff>609892</xdr:colOff>
      <xdr:row>13</xdr:row>
      <xdr:rowOff>162615</xdr:rowOff>
    </xdr:to>
    <xdr:sp macro="" textlink="">
      <xdr:nvSpPr>
        <xdr:cNvPr id="47" name="角丸四角形吹き出し 46"/>
        <xdr:cNvSpPr/>
      </xdr:nvSpPr>
      <xdr:spPr>
        <a:xfrm>
          <a:off x="9579030" y="1581348"/>
          <a:ext cx="1194135" cy="751396"/>
        </a:xfrm>
        <a:prstGeom prst="wedgeRoundRectCallout">
          <a:avLst>
            <a:gd name="adj1" fmla="val -65362"/>
            <a:gd name="adj2" fmla="val 5872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もう少し耐えるか迷ったが、建値撤退</a:t>
          </a:r>
        </a:p>
      </xdr:txBody>
    </xdr:sp>
    <xdr:clientData/>
  </xdr:twoCellAnchor>
  <xdr:twoCellAnchor editAs="oneCell">
    <xdr:from>
      <xdr:col>0</xdr:col>
      <xdr:colOff>0</xdr:colOff>
      <xdr:row>29</xdr:row>
      <xdr:rowOff>127655</xdr:rowOff>
    </xdr:from>
    <xdr:to>
      <xdr:col>18</xdr:col>
      <xdr:colOff>201203</xdr:colOff>
      <xdr:row>58</xdr:row>
      <xdr:rowOff>98196</xdr:rowOff>
    </xdr:to>
    <xdr:pic>
      <xdr:nvPicPr>
        <xdr:cNvPr id="10241" name="Picture 1"/>
        <xdr:cNvPicPr>
          <a:picLocks noChangeAspect="1" noChangeArrowheads="1"/>
        </xdr:cNvPicPr>
      </xdr:nvPicPr>
      <xdr:blipFill>
        <a:blip xmlns:r="http://schemas.openxmlformats.org/officeDocument/2006/relationships" r:embed="rId2"/>
        <a:srcRect l="4896" t="19707" b="12767"/>
        <a:stretch>
          <a:fillRect/>
        </a:stretch>
      </xdr:blipFill>
      <xdr:spPr bwMode="auto">
        <a:xfrm>
          <a:off x="0" y="4968712"/>
          <a:ext cx="12397131" cy="4811597"/>
        </a:xfrm>
        <a:prstGeom prst="rect">
          <a:avLst/>
        </a:prstGeom>
        <a:noFill/>
        <a:ln w="1">
          <a:noFill/>
          <a:miter lim="800000"/>
          <a:headEnd/>
          <a:tailEnd type="none" w="med" len="med"/>
        </a:ln>
        <a:effectLst/>
      </xdr:spPr>
    </xdr:pic>
    <xdr:clientData/>
  </xdr:twoCellAnchor>
  <xdr:twoCellAnchor>
    <xdr:from>
      <xdr:col>0</xdr:col>
      <xdr:colOff>113122</xdr:colOff>
      <xdr:row>31</xdr:row>
      <xdr:rowOff>44385</xdr:rowOff>
    </xdr:from>
    <xdr:to>
      <xdr:col>1</xdr:col>
      <xdr:colOff>439777</xdr:colOff>
      <xdr:row>32</xdr:row>
      <xdr:rowOff>154096</xdr:rowOff>
    </xdr:to>
    <xdr:sp macro="" textlink="">
      <xdr:nvSpPr>
        <xdr:cNvPr id="44" name="テキスト ボックス 43"/>
        <xdr:cNvSpPr txBox="1"/>
      </xdr:nvSpPr>
      <xdr:spPr>
        <a:xfrm>
          <a:off x="113122" y="521930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No.8,9</a:t>
          </a:r>
        </a:p>
      </xdr:txBody>
    </xdr:sp>
    <xdr:clientData/>
  </xdr:twoCellAnchor>
  <xdr:twoCellAnchor>
    <xdr:from>
      <xdr:col>3</xdr:col>
      <xdr:colOff>112555</xdr:colOff>
      <xdr:row>42</xdr:row>
      <xdr:rowOff>98199</xdr:rowOff>
    </xdr:from>
    <xdr:to>
      <xdr:col>4</xdr:col>
      <xdr:colOff>629139</xdr:colOff>
      <xdr:row>46</xdr:row>
      <xdr:rowOff>142582</xdr:rowOff>
    </xdr:to>
    <xdr:sp macro="" textlink="">
      <xdr:nvSpPr>
        <xdr:cNvPr id="48" name="角丸四角形吹き出し 47"/>
        <xdr:cNvSpPr/>
      </xdr:nvSpPr>
      <xdr:spPr>
        <a:xfrm>
          <a:off x="2145210" y="7109385"/>
          <a:ext cx="1194135" cy="712115"/>
        </a:xfrm>
        <a:prstGeom prst="wedgeRoundRectCallout">
          <a:avLst>
            <a:gd name="adj1" fmla="val 62097"/>
            <a:gd name="adj2" fmla="val -715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直近安値ブレイクで</a:t>
          </a:r>
          <a:r>
            <a:rPr kumimoji="1" lang="en-US" altLang="ja-JP" sz="1100"/>
            <a:t>No.8IN</a:t>
          </a:r>
          <a:endParaRPr kumimoji="1" lang="ja-JP" altLang="en-US" sz="1100"/>
        </a:p>
      </xdr:txBody>
    </xdr:sp>
    <xdr:clientData/>
  </xdr:twoCellAnchor>
  <xdr:twoCellAnchor>
    <xdr:from>
      <xdr:col>0</xdr:col>
      <xdr:colOff>113809</xdr:colOff>
      <xdr:row>33</xdr:row>
      <xdr:rowOff>32530</xdr:rowOff>
    </xdr:from>
    <xdr:to>
      <xdr:col>2</xdr:col>
      <xdr:colOff>409590</xdr:colOff>
      <xdr:row>37</xdr:row>
      <xdr:rowOff>73844</xdr:rowOff>
    </xdr:to>
    <xdr:sp macro="" textlink="">
      <xdr:nvSpPr>
        <xdr:cNvPr id="49" name="テキスト ボックス 48"/>
        <xdr:cNvSpPr txBox="1"/>
      </xdr:nvSpPr>
      <xdr:spPr>
        <a:xfrm>
          <a:off x="113809" y="5541319"/>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足レベルのウェッジブレイク後の戻りからの売りを狙った</a:t>
          </a:r>
          <a:endParaRPr kumimoji="1" lang="en-US" altLang="ja-JP" sz="1100"/>
        </a:p>
      </xdr:txBody>
    </xdr:sp>
    <xdr:clientData/>
  </xdr:twoCellAnchor>
  <xdr:twoCellAnchor>
    <xdr:from>
      <xdr:col>3</xdr:col>
      <xdr:colOff>476446</xdr:colOff>
      <xdr:row>41</xdr:row>
      <xdr:rowOff>73844</xdr:rowOff>
    </xdr:from>
    <xdr:to>
      <xdr:col>5</xdr:col>
      <xdr:colOff>422242</xdr:colOff>
      <xdr:row>41</xdr:row>
      <xdr:rowOff>78556</xdr:rowOff>
    </xdr:to>
    <xdr:cxnSp macro="">
      <xdr:nvCxnSpPr>
        <xdr:cNvPr id="50" name="直線コネクタ 49"/>
        <xdr:cNvCxnSpPr/>
      </xdr:nvCxnSpPr>
      <xdr:spPr>
        <a:xfrm>
          <a:off x="2509101" y="6918097"/>
          <a:ext cx="1300899"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88203</xdr:colOff>
      <xdr:row>32</xdr:row>
      <xdr:rowOff>24749</xdr:rowOff>
    </xdr:from>
    <xdr:to>
      <xdr:col>7</xdr:col>
      <xdr:colOff>604786</xdr:colOff>
      <xdr:row>36</xdr:row>
      <xdr:rowOff>69132</xdr:rowOff>
    </xdr:to>
    <xdr:sp macro="" textlink="">
      <xdr:nvSpPr>
        <xdr:cNvPr id="52" name="角丸四角形吹き出し 51"/>
        <xdr:cNvSpPr/>
      </xdr:nvSpPr>
      <xdr:spPr>
        <a:xfrm>
          <a:off x="4153512" y="5366605"/>
          <a:ext cx="1194135" cy="712115"/>
        </a:xfrm>
        <a:prstGeom prst="wedgeRoundRectCallout">
          <a:avLst>
            <a:gd name="adj1" fmla="val 51407"/>
            <a:gd name="adj2" fmla="val 939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建値撤退できずここまで引っ張ってロスカット</a:t>
          </a:r>
        </a:p>
      </xdr:txBody>
    </xdr:sp>
    <xdr:clientData/>
  </xdr:twoCellAnchor>
  <xdr:twoCellAnchor>
    <xdr:from>
      <xdr:col>7</xdr:col>
      <xdr:colOff>49098</xdr:colOff>
      <xdr:row>40</xdr:row>
      <xdr:rowOff>49098</xdr:rowOff>
    </xdr:from>
    <xdr:to>
      <xdr:col>10</xdr:col>
      <xdr:colOff>598995</xdr:colOff>
      <xdr:row>41</xdr:row>
      <xdr:rowOff>127655</xdr:rowOff>
    </xdr:to>
    <xdr:cxnSp macro="">
      <xdr:nvCxnSpPr>
        <xdr:cNvPr id="53" name="直線コネクタ 52"/>
        <xdr:cNvCxnSpPr/>
      </xdr:nvCxnSpPr>
      <xdr:spPr>
        <a:xfrm flipV="1">
          <a:off x="4791959" y="6726418"/>
          <a:ext cx="2582551" cy="245490"/>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162046</xdr:colOff>
      <xdr:row>40</xdr:row>
      <xdr:rowOff>20036</xdr:rowOff>
    </xdr:from>
    <xdr:to>
      <xdr:col>13</xdr:col>
      <xdr:colOff>1078</xdr:colOff>
      <xdr:row>44</xdr:row>
      <xdr:rowOff>64419</xdr:rowOff>
    </xdr:to>
    <xdr:sp macro="" textlink="">
      <xdr:nvSpPr>
        <xdr:cNvPr id="57" name="角丸四角形吹き出し 56"/>
        <xdr:cNvSpPr/>
      </xdr:nvSpPr>
      <xdr:spPr>
        <a:xfrm>
          <a:off x="7615113" y="6697356"/>
          <a:ext cx="1194135" cy="712115"/>
        </a:xfrm>
        <a:prstGeom prst="wedgeRoundRectCallout">
          <a:avLst>
            <a:gd name="adj1" fmla="val -95788"/>
            <a:gd name="adj2" fmla="val -384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No.9IN</a:t>
          </a:r>
          <a:endParaRPr kumimoji="1" lang="ja-JP" altLang="en-US" sz="1100"/>
        </a:p>
      </xdr:txBody>
    </xdr:sp>
    <xdr:clientData/>
  </xdr:twoCellAnchor>
  <xdr:twoCellAnchor>
    <xdr:from>
      <xdr:col>14</xdr:col>
      <xdr:colOff>510838</xdr:colOff>
      <xdr:row>36</xdr:row>
      <xdr:rowOff>123338</xdr:rowOff>
    </xdr:from>
    <xdr:to>
      <xdr:col>16</xdr:col>
      <xdr:colOff>349870</xdr:colOff>
      <xdr:row>41</xdr:row>
      <xdr:rowOff>788</xdr:rowOff>
    </xdr:to>
    <xdr:sp macro="" textlink="">
      <xdr:nvSpPr>
        <xdr:cNvPr id="58" name="角丸四角形吹き出し 57"/>
        <xdr:cNvSpPr/>
      </xdr:nvSpPr>
      <xdr:spPr>
        <a:xfrm>
          <a:off x="9996560" y="6132926"/>
          <a:ext cx="1194135" cy="712115"/>
        </a:xfrm>
        <a:prstGeom prst="wedgeRoundRectCallout">
          <a:avLst>
            <a:gd name="adj1" fmla="val 87589"/>
            <a:gd name="adj2" fmla="val 511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建値まで戻った</a:t>
          </a:r>
        </a:p>
      </xdr:txBody>
    </xdr:sp>
    <xdr:clientData/>
  </xdr:twoCellAnchor>
  <xdr:twoCellAnchor>
    <xdr:from>
      <xdr:col>0</xdr:col>
      <xdr:colOff>147120</xdr:colOff>
      <xdr:row>38</xdr:row>
      <xdr:rowOff>34568</xdr:rowOff>
    </xdr:from>
    <xdr:to>
      <xdr:col>2</xdr:col>
      <xdr:colOff>441882</xdr:colOff>
      <xdr:row>42</xdr:row>
      <xdr:rowOff>147293</xdr:rowOff>
    </xdr:to>
    <xdr:sp macro="" textlink="">
      <xdr:nvSpPr>
        <xdr:cNvPr id="59" name="角丸四角形吹き出し 58"/>
        <xdr:cNvSpPr/>
      </xdr:nvSpPr>
      <xdr:spPr>
        <a:xfrm>
          <a:off x="147120" y="6378022"/>
          <a:ext cx="1649865" cy="780457"/>
        </a:xfrm>
        <a:prstGeom prst="wedgeRoundRectCallout">
          <a:avLst>
            <a:gd name="adj1" fmla="val 26737"/>
            <a:gd name="adj2" fmla="val -508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a:t>
          </a:r>
          <a:r>
            <a:rPr kumimoji="1" lang="ja-JP" altLang="en-US" sz="1100"/>
            <a:t>で決めたターゲットを狙ったが</a:t>
          </a:r>
          <a:r>
            <a:rPr kumimoji="1" lang="en-US" altLang="ja-JP" sz="1100"/>
            <a:t>…</a:t>
          </a:r>
          <a:r>
            <a:rPr kumimoji="1" lang="ja-JP" altLang="en-US" sz="1100"/>
            <a:t>全く下落せず</a:t>
          </a:r>
          <a:r>
            <a:rPr kumimoji="1" lang="en-US" altLang="ja-JP" sz="1100"/>
            <a:t>×</a:t>
          </a:r>
          <a:endParaRPr kumimoji="1" lang="ja-JP" altLang="en-US" sz="1100"/>
        </a:p>
      </xdr:txBody>
    </xdr:sp>
    <xdr:clientData/>
  </xdr:twoCellAnchor>
  <xdr:twoCellAnchor editAs="oneCell">
    <xdr:from>
      <xdr:col>0</xdr:col>
      <xdr:colOff>0</xdr:colOff>
      <xdr:row>60</xdr:row>
      <xdr:rowOff>9819</xdr:rowOff>
    </xdr:from>
    <xdr:to>
      <xdr:col>18</xdr:col>
      <xdr:colOff>171744</xdr:colOff>
      <xdr:row>88</xdr:row>
      <xdr:rowOff>117835</xdr:rowOff>
    </xdr:to>
    <xdr:pic>
      <xdr:nvPicPr>
        <xdr:cNvPr id="35" name="Picture 2"/>
        <xdr:cNvPicPr>
          <a:picLocks noChangeAspect="1" noChangeArrowheads="1"/>
        </xdr:cNvPicPr>
      </xdr:nvPicPr>
      <xdr:blipFill>
        <a:blip xmlns:r="http://schemas.openxmlformats.org/officeDocument/2006/relationships" r:embed="rId3"/>
        <a:srcRect l="5122" t="20258" b="12629"/>
        <a:stretch>
          <a:fillRect/>
        </a:stretch>
      </xdr:blipFill>
      <xdr:spPr bwMode="auto">
        <a:xfrm>
          <a:off x="0" y="10025798"/>
          <a:ext cx="12367672" cy="4782140"/>
        </a:xfrm>
        <a:prstGeom prst="rect">
          <a:avLst/>
        </a:prstGeom>
        <a:noFill/>
        <a:ln w="1">
          <a:noFill/>
          <a:miter lim="800000"/>
          <a:headEnd/>
          <a:tailEnd type="none" w="med" len="med"/>
        </a:ln>
        <a:effectLst/>
      </xdr:spPr>
    </xdr:pic>
    <xdr:clientData/>
  </xdr:twoCellAnchor>
  <xdr:twoCellAnchor>
    <xdr:from>
      <xdr:col>0</xdr:col>
      <xdr:colOff>128048</xdr:colOff>
      <xdr:row>61</xdr:row>
      <xdr:rowOff>20033</xdr:rowOff>
    </xdr:from>
    <xdr:to>
      <xdr:col>1</xdr:col>
      <xdr:colOff>454703</xdr:colOff>
      <xdr:row>62</xdr:row>
      <xdr:rowOff>129744</xdr:rowOff>
    </xdr:to>
    <xdr:sp macro="" textlink="">
      <xdr:nvSpPr>
        <xdr:cNvPr id="60" name="テキスト ボックス 59"/>
        <xdr:cNvSpPr txBox="1"/>
      </xdr:nvSpPr>
      <xdr:spPr>
        <a:xfrm>
          <a:off x="128048" y="10202945"/>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No.10,11</a:t>
          </a:r>
        </a:p>
      </xdr:txBody>
    </xdr:sp>
    <xdr:clientData/>
  </xdr:twoCellAnchor>
  <xdr:twoCellAnchor>
    <xdr:from>
      <xdr:col>0</xdr:col>
      <xdr:colOff>128735</xdr:colOff>
      <xdr:row>63</xdr:row>
      <xdr:rowOff>8178</xdr:rowOff>
    </xdr:from>
    <xdr:to>
      <xdr:col>2</xdr:col>
      <xdr:colOff>424516</xdr:colOff>
      <xdr:row>67</xdr:row>
      <xdr:rowOff>49492</xdr:rowOff>
    </xdr:to>
    <xdr:sp macro="" textlink="">
      <xdr:nvSpPr>
        <xdr:cNvPr id="61" name="テキスト ボックス 60"/>
        <xdr:cNvSpPr txBox="1"/>
      </xdr:nvSpPr>
      <xdr:spPr>
        <a:xfrm>
          <a:off x="128735" y="10524956"/>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足レベルのウェッジブレイク後の戻りで</a:t>
          </a:r>
          <a:r>
            <a:rPr kumimoji="1" lang="en-US" altLang="ja-JP" sz="1100"/>
            <a:t>IN</a:t>
          </a:r>
        </a:p>
      </xdr:txBody>
    </xdr:sp>
    <xdr:clientData/>
  </xdr:twoCellAnchor>
  <xdr:twoCellAnchor>
    <xdr:from>
      <xdr:col>7</xdr:col>
      <xdr:colOff>456634</xdr:colOff>
      <xdr:row>71</xdr:row>
      <xdr:rowOff>98593</xdr:rowOff>
    </xdr:from>
    <xdr:to>
      <xdr:col>9</xdr:col>
      <xdr:colOff>295666</xdr:colOff>
      <xdr:row>76</xdr:row>
      <xdr:rowOff>9820</xdr:rowOff>
    </xdr:to>
    <xdr:sp macro="" textlink="">
      <xdr:nvSpPr>
        <xdr:cNvPr id="62" name="角丸四角形吹き出し 61"/>
        <xdr:cNvSpPr/>
      </xdr:nvSpPr>
      <xdr:spPr>
        <a:xfrm>
          <a:off x="5199495" y="11950835"/>
          <a:ext cx="1194135" cy="745892"/>
        </a:xfrm>
        <a:prstGeom prst="wedgeRoundRectCallout">
          <a:avLst>
            <a:gd name="adj1" fmla="val 64564"/>
            <a:gd name="adj2" fmla="val -977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No.10IN</a:t>
          </a:r>
        </a:p>
        <a:p>
          <a:pPr algn="ctr"/>
          <a:r>
            <a:rPr kumimoji="1" lang="ja-JP" altLang="en-US" sz="1100"/>
            <a:t>その後すぐロスカット</a:t>
          </a:r>
          <a:endParaRPr kumimoji="1" lang="en-US" altLang="ja-JP" sz="1100"/>
        </a:p>
      </xdr:txBody>
    </xdr:sp>
    <xdr:clientData/>
  </xdr:twoCellAnchor>
  <xdr:twoCellAnchor>
    <xdr:from>
      <xdr:col>7</xdr:col>
      <xdr:colOff>667732</xdr:colOff>
      <xdr:row>68</xdr:row>
      <xdr:rowOff>117835</xdr:rowOff>
    </xdr:from>
    <xdr:to>
      <xdr:col>9</xdr:col>
      <xdr:colOff>657912</xdr:colOff>
      <xdr:row>71</xdr:row>
      <xdr:rowOff>78557</xdr:rowOff>
    </xdr:to>
    <xdr:cxnSp macro="">
      <xdr:nvCxnSpPr>
        <xdr:cNvPr id="63" name="直線コネクタ 62"/>
        <xdr:cNvCxnSpPr/>
      </xdr:nvCxnSpPr>
      <xdr:spPr>
        <a:xfrm flipV="1">
          <a:off x="5410593" y="11469278"/>
          <a:ext cx="1345283" cy="461521"/>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162046</xdr:colOff>
      <xdr:row>68</xdr:row>
      <xdr:rowOff>10216</xdr:rowOff>
    </xdr:from>
    <xdr:to>
      <xdr:col>2</xdr:col>
      <xdr:colOff>456808</xdr:colOff>
      <xdr:row>73</xdr:row>
      <xdr:rowOff>117835</xdr:rowOff>
    </xdr:to>
    <xdr:sp macro="" textlink="">
      <xdr:nvSpPr>
        <xdr:cNvPr id="64" name="角丸四角形吹き出し 63"/>
        <xdr:cNvSpPr/>
      </xdr:nvSpPr>
      <xdr:spPr>
        <a:xfrm>
          <a:off x="162046" y="11361659"/>
          <a:ext cx="1649865" cy="942284"/>
        </a:xfrm>
        <a:prstGeom prst="wedgeRoundRectCallout">
          <a:avLst>
            <a:gd name="adj1" fmla="val 26737"/>
            <a:gd name="adj2" fmla="val -508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No.10</a:t>
          </a:r>
          <a:r>
            <a:rPr kumimoji="1" lang="ja-JP" altLang="en-US" sz="1100"/>
            <a:t>のような場合も考慮して、建値にストップ移動可能な値段まで落ちればすぐ移動させる</a:t>
          </a:r>
        </a:p>
      </xdr:txBody>
    </xdr:sp>
    <xdr:clientData/>
  </xdr:twoCellAnchor>
  <xdr:twoCellAnchor>
    <xdr:from>
      <xdr:col>9</xdr:col>
      <xdr:colOff>417529</xdr:colOff>
      <xdr:row>70</xdr:row>
      <xdr:rowOff>157114</xdr:rowOff>
    </xdr:from>
    <xdr:to>
      <xdr:col>12</xdr:col>
      <xdr:colOff>500799</xdr:colOff>
      <xdr:row>70</xdr:row>
      <xdr:rowOff>162221</xdr:rowOff>
    </xdr:to>
    <xdr:cxnSp macro="">
      <xdr:nvCxnSpPr>
        <xdr:cNvPr id="67" name="直線コネクタ 66"/>
        <xdr:cNvCxnSpPr/>
      </xdr:nvCxnSpPr>
      <xdr:spPr>
        <a:xfrm flipV="1">
          <a:off x="6515493" y="11842423"/>
          <a:ext cx="2115925"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501018</xdr:colOff>
      <xdr:row>73</xdr:row>
      <xdr:rowOff>84060</xdr:rowOff>
    </xdr:from>
    <xdr:to>
      <xdr:col>11</xdr:col>
      <xdr:colOff>340050</xdr:colOff>
      <xdr:row>77</xdr:row>
      <xdr:rowOff>128443</xdr:rowOff>
    </xdr:to>
    <xdr:sp macro="" textlink="">
      <xdr:nvSpPr>
        <xdr:cNvPr id="70" name="角丸四角形吹き出し 69"/>
        <xdr:cNvSpPr/>
      </xdr:nvSpPr>
      <xdr:spPr>
        <a:xfrm>
          <a:off x="6598982" y="12270168"/>
          <a:ext cx="1194135" cy="712115"/>
        </a:xfrm>
        <a:prstGeom prst="wedgeRoundRectCallout">
          <a:avLst>
            <a:gd name="adj1" fmla="val 64564"/>
            <a:gd name="adj2" fmla="val -977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直近底値ブレイクで</a:t>
          </a:r>
          <a:r>
            <a:rPr kumimoji="1" lang="en-US" altLang="ja-JP" sz="1100"/>
            <a:t>No.11IN</a:t>
          </a:r>
          <a:endParaRPr kumimoji="1" lang="ja-JP" altLang="en-US" sz="1100"/>
        </a:p>
      </xdr:txBody>
    </xdr:sp>
    <xdr:clientData/>
  </xdr:twoCellAnchor>
  <xdr:twoCellAnchor>
    <xdr:from>
      <xdr:col>12</xdr:col>
      <xdr:colOff>240995</xdr:colOff>
      <xdr:row>64</xdr:row>
      <xdr:rowOff>10610</xdr:rowOff>
    </xdr:from>
    <xdr:to>
      <xdr:col>14</xdr:col>
      <xdr:colOff>80027</xdr:colOff>
      <xdr:row>68</xdr:row>
      <xdr:rowOff>54993</xdr:rowOff>
    </xdr:to>
    <xdr:sp macro="" textlink="">
      <xdr:nvSpPr>
        <xdr:cNvPr id="71" name="角丸四角形吹き出し 70"/>
        <xdr:cNvSpPr/>
      </xdr:nvSpPr>
      <xdr:spPr>
        <a:xfrm>
          <a:off x="8371614" y="10694321"/>
          <a:ext cx="1194135" cy="712115"/>
        </a:xfrm>
        <a:prstGeom prst="wedgeRoundRectCallout">
          <a:avLst>
            <a:gd name="adj1" fmla="val 31671"/>
            <a:gd name="adj2" fmla="val 705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ここでロスカット</a:t>
          </a:r>
        </a:p>
      </xdr:txBody>
    </xdr:sp>
    <xdr:clientData/>
  </xdr:twoCellAnchor>
  <xdr:twoCellAnchor>
    <xdr:from>
      <xdr:col>11</xdr:col>
      <xdr:colOff>294980</xdr:colOff>
      <xdr:row>78</xdr:row>
      <xdr:rowOff>152400</xdr:rowOff>
    </xdr:from>
    <xdr:to>
      <xdr:col>14</xdr:col>
      <xdr:colOff>378250</xdr:colOff>
      <xdr:row>78</xdr:row>
      <xdr:rowOff>157507</xdr:rowOff>
    </xdr:to>
    <xdr:cxnSp macro="">
      <xdr:nvCxnSpPr>
        <xdr:cNvPr id="65" name="直線コネクタ 64"/>
        <xdr:cNvCxnSpPr/>
      </xdr:nvCxnSpPr>
      <xdr:spPr>
        <a:xfrm flipV="1">
          <a:off x="7748047" y="13173173"/>
          <a:ext cx="2115925"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663237</xdr:colOff>
      <xdr:row>76</xdr:row>
      <xdr:rowOff>58918</xdr:rowOff>
    </xdr:from>
    <xdr:to>
      <xdr:col>16</xdr:col>
      <xdr:colOff>196391</xdr:colOff>
      <xdr:row>78</xdr:row>
      <xdr:rowOff>74632</xdr:rowOff>
    </xdr:to>
    <xdr:sp macro="" textlink="">
      <xdr:nvSpPr>
        <xdr:cNvPr id="66" name="角丸四角形吹き出し 65"/>
        <xdr:cNvSpPr/>
      </xdr:nvSpPr>
      <xdr:spPr>
        <a:xfrm>
          <a:off x="10148959" y="12745825"/>
          <a:ext cx="888257" cy="349580"/>
        </a:xfrm>
        <a:prstGeom prst="wedgeRoundRectCallout">
          <a:avLst>
            <a:gd name="adj1" fmla="val -80501"/>
            <a:gd name="adj2" fmla="val 6513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FIB-61.8</a:t>
          </a:r>
          <a:endParaRPr kumimoji="1" lang="ja-JP" altLang="en-US" sz="1100"/>
        </a:p>
      </xdr:txBody>
    </xdr:sp>
    <xdr:clientData/>
  </xdr:twoCellAnchor>
  <xdr:twoCellAnchor>
    <xdr:from>
      <xdr:col>0</xdr:col>
      <xdr:colOff>161653</xdr:colOff>
      <xdr:row>8</xdr:row>
      <xdr:rowOff>147298</xdr:rowOff>
    </xdr:from>
    <xdr:to>
      <xdr:col>2</xdr:col>
      <xdr:colOff>402603</xdr:colOff>
      <xdr:row>13</xdr:row>
      <xdr:rowOff>98197</xdr:rowOff>
    </xdr:to>
    <xdr:sp macro="" textlink="">
      <xdr:nvSpPr>
        <xdr:cNvPr id="68" name="角丸四角形吹き出し 67"/>
        <xdr:cNvSpPr/>
      </xdr:nvSpPr>
      <xdr:spPr>
        <a:xfrm>
          <a:off x="161653" y="1482762"/>
          <a:ext cx="1596053" cy="785564"/>
        </a:xfrm>
        <a:prstGeom prst="wedgeRoundRectCallout">
          <a:avLst>
            <a:gd name="adj1" fmla="val -24490"/>
            <a:gd name="adj2" fmla="val -7967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週足ブレイクでは大きすぎた。４</a:t>
          </a:r>
          <a:r>
            <a:rPr kumimoji="1" lang="en-US" altLang="ja-JP" sz="1100"/>
            <a:t>H</a:t>
          </a:r>
          <a:r>
            <a:rPr kumimoji="1" lang="ja-JP" altLang="en-US" sz="1100"/>
            <a:t>ブレイクならもっと早くに</a:t>
          </a:r>
          <a:r>
            <a:rPr kumimoji="1" lang="en-US" altLang="ja-JP" sz="1100"/>
            <a:t>IN</a:t>
          </a:r>
          <a:r>
            <a:rPr kumimoji="1" lang="ja-JP" altLang="en-US" sz="1100"/>
            <a:t>できた</a:t>
          </a:r>
        </a:p>
      </xdr:txBody>
    </xdr:sp>
    <xdr:clientData/>
  </xdr:twoCellAnchor>
  <xdr:twoCellAnchor>
    <xdr:from>
      <xdr:col>9</xdr:col>
      <xdr:colOff>333866</xdr:colOff>
      <xdr:row>15</xdr:row>
      <xdr:rowOff>58916</xdr:rowOff>
    </xdr:from>
    <xdr:to>
      <xdr:col>9</xdr:col>
      <xdr:colOff>667732</xdr:colOff>
      <xdr:row>16</xdr:row>
      <xdr:rowOff>117834</xdr:rowOff>
    </xdr:to>
    <xdr:sp macro="" textlink="">
      <xdr:nvSpPr>
        <xdr:cNvPr id="69" name="正方形/長方形 68"/>
        <xdr:cNvSpPr/>
      </xdr:nvSpPr>
      <xdr:spPr>
        <a:xfrm>
          <a:off x="6431830" y="2562911"/>
          <a:ext cx="333866" cy="22585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10</xdr:col>
      <xdr:colOff>206431</xdr:colOff>
      <xdr:row>16</xdr:row>
      <xdr:rowOff>152794</xdr:rowOff>
    </xdr:from>
    <xdr:to>
      <xdr:col>12</xdr:col>
      <xdr:colOff>45462</xdr:colOff>
      <xdr:row>21</xdr:row>
      <xdr:rowOff>69525</xdr:rowOff>
    </xdr:to>
    <xdr:sp macro="" textlink="">
      <xdr:nvSpPr>
        <xdr:cNvPr id="72" name="角丸四角形吹き出し 71"/>
        <xdr:cNvSpPr/>
      </xdr:nvSpPr>
      <xdr:spPr>
        <a:xfrm>
          <a:off x="6981946" y="2823722"/>
          <a:ext cx="1194135" cy="751396"/>
        </a:xfrm>
        <a:prstGeom prst="wedgeRoundRectCallout">
          <a:avLst>
            <a:gd name="adj1" fmla="val -67007"/>
            <a:gd name="adj2" fmla="val -5366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このレンジを上抜ければ切るべきだった</a:t>
          </a:r>
        </a:p>
      </xdr:txBody>
    </xdr:sp>
    <xdr:clientData/>
  </xdr:twoCellAnchor>
  <xdr:twoCellAnchor>
    <xdr:from>
      <xdr:col>3</xdr:col>
      <xdr:colOff>495912</xdr:colOff>
      <xdr:row>30</xdr:row>
      <xdr:rowOff>88773</xdr:rowOff>
    </xdr:from>
    <xdr:to>
      <xdr:col>5</xdr:col>
      <xdr:colOff>471340</xdr:colOff>
      <xdr:row>34</xdr:row>
      <xdr:rowOff>133156</xdr:rowOff>
    </xdr:to>
    <xdr:sp macro="" textlink="">
      <xdr:nvSpPr>
        <xdr:cNvPr id="73" name="角丸四角形吹き出し 72"/>
        <xdr:cNvSpPr/>
      </xdr:nvSpPr>
      <xdr:spPr>
        <a:xfrm>
          <a:off x="2528567" y="5096763"/>
          <a:ext cx="1330531" cy="712115"/>
        </a:xfrm>
        <a:prstGeom prst="wedgeRoundRectCallout">
          <a:avLst>
            <a:gd name="adj1" fmla="val -79109"/>
            <a:gd name="adj2" fmla="val -809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ここがルールで</a:t>
          </a:r>
          <a:r>
            <a:rPr kumimoji="1" lang="en-US" altLang="ja-JP" sz="1100"/>
            <a:t>IN</a:t>
          </a:r>
          <a:r>
            <a:rPr kumimoji="1" lang="ja-JP" altLang="en-US" sz="1100"/>
            <a:t>すべきポイント</a:t>
          </a:r>
        </a:p>
      </xdr:txBody>
    </xdr:sp>
    <xdr:clientData/>
  </xdr:twoCellAnchor>
  <xdr:twoCellAnchor>
    <xdr:from>
      <xdr:col>11</xdr:col>
      <xdr:colOff>29852</xdr:colOff>
      <xdr:row>49</xdr:row>
      <xdr:rowOff>117836</xdr:rowOff>
    </xdr:from>
    <xdr:to>
      <xdr:col>14</xdr:col>
      <xdr:colOff>471340</xdr:colOff>
      <xdr:row>49</xdr:row>
      <xdr:rowOff>118230</xdr:rowOff>
    </xdr:to>
    <xdr:cxnSp macro="">
      <xdr:nvCxnSpPr>
        <xdr:cNvPr id="74" name="直線コネクタ 73"/>
        <xdr:cNvCxnSpPr/>
      </xdr:nvCxnSpPr>
      <xdr:spPr>
        <a:xfrm flipV="1">
          <a:off x="7482919" y="8297552"/>
          <a:ext cx="2474143" cy="39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373364</xdr:colOff>
      <xdr:row>44</xdr:row>
      <xdr:rowOff>162617</xdr:rowOff>
    </xdr:from>
    <xdr:to>
      <xdr:col>10</xdr:col>
      <xdr:colOff>212396</xdr:colOff>
      <xdr:row>49</xdr:row>
      <xdr:rowOff>40068</xdr:rowOff>
    </xdr:to>
    <xdr:sp macro="" textlink="">
      <xdr:nvSpPr>
        <xdr:cNvPr id="77" name="角丸四角形吹き出し 76"/>
        <xdr:cNvSpPr/>
      </xdr:nvSpPr>
      <xdr:spPr>
        <a:xfrm>
          <a:off x="5793776" y="7507669"/>
          <a:ext cx="1194135" cy="712115"/>
        </a:xfrm>
        <a:prstGeom prst="wedgeRoundRectCallout">
          <a:avLst>
            <a:gd name="adj1" fmla="val 90056"/>
            <a:gd name="adj2" fmla="val 5809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逆</a:t>
          </a:r>
          <a:r>
            <a:rPr kumimoji="1" lang="en-US" altLang="ja-JP" sz="1100"/>
            <a:t>FIB</a:t>
          </a:r>
          <a:r>
            <a:rPr kumimoji="1" lang="ja-JP" altLang="en-US" sz="1100"/>
            <a:t>ならここがｰ</a:t>
          </a:r>
          <a:r>
            <a:rPr kumimoji="1" lang="en-US" altLang="ja-JP" sz="1100"/>
            <a:t>61.8</a:t>
          </a:r>
          <a:endParaRPr kumimoji="1" lang="ja-JP" altLang="en-US" sz="1100"/>
        </a:p>
      </xdr:txBody>
    </xdr:sp>
    <xdr:clientData/>
  </xdr:twoCellAnchor>
  <xdr:twoCellAnchor>
    <xdr:from>
      <xdr:col>15</xdr:col>
      <xdr:colOff>15145</xdr:colOff>
      <xdr:row>49</xdr:row>
      <xdr:rowOff>69528</xdr:rowOff>
    </xdr:from>
    <xdr:to>
      <xdr:col>16</xdr:col>
      <xdr:colOff>531728</xdr:colOff>
      <xdr:row>52</xdr:row>
      <xdr:rowOff>137474</xdr:rowOff>
    </xdr:to>
    <xdr:sp macro="" textlink="">
      <xdr:nvSpPr>
        <xdr:cNvPr id="78" name="角丸四角形吹き出し 77"/>
        <xdr:cNvSpPr/>
      </xdr:nvSpPr>
      <xdr:spPr>
        <a:xfrm>
          <a:off x="10178418" y="8249244"/>
          <a:ext cx="1194135" cy="568745"/>
        </a:xfrm>
        <a:prstGeom prst="wedgeRoundRectCallout">
          <a:avLst>
            <a:gd name="adj1" fmla="val -74408"/>
            <a:gd name="adj2" fmla="val -7566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EB</a:t>
          </a:r>
          <a:r>
            <a:rPr kumimoji="1" lang="ja-JP" altLang="en-US" sz="1100"/>
            <a:t>が決済</a:t>
          </a:r>
          <a:r>
            <a:rPr kumimoji="1" lang="en-US" altLang="ja-JP" sz="1100"/>
            <a:t>P</a:t>
          </a:r>
          <a:endParaRPr kumimoji="1" lang="ja-JP" altLang="en-US" sz="1100"/>
        </a:p>
      </xdr:txBody>
    </xdr:sp>
    <xdr:clientData/>
  </xdr:twoCellAnchor>
  <xdr:twoCellAnchor>
    <xdr:from>
      <xdr:col>13</xdr:col>
      <xdr:colOff>599608</xdr:colOff>
      <xdr:row>72</xdr:row>
      <xdr:rowOff>93483</xdr:rowOff>
    </xdr:from>
    <xdr:to>
      <xdr:col>15</xdr:col>
      <xdr:colOff>333867</xdr:colOff>
      <xdr:row>74</xdr:row>
      <xdr:rowOff>109197</xdr:rowOff>
    </xdr:to>
    <xdr:sp macro="" textlink="">
      <xdr:nvSpPr>
        <xdr:cNvPr id="79" name="角丸四角形吹き出し 78"/>
        <xdr:cNvSpPr/>
      </xdr:nvSpPr>
      <xdr:spPr>
        <a:xfrm>
          <a:off x="9407778" y="12112658"/>
          <a:ext cx="1089362" cy="349580"/>
        </a:xfrm>
        <a:prstGeom prst="wedgeRoundRectCallout">
          <a:avLst>
            <a:gd name="adj1" fmla="val -70588"/>
            <a:gd name="adj2" fmla="val 5109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切るならここか</a:t>
          </a:r>
        </a:p>
      </xdr:txBody>
    </xdr:sp>
    <xdr:clientData/>
  </xdr:twoCellAnchor>
  <xdr:twoCellAnchor editAs="oneCell">
    <xdr:from>
      <xdr:col>0</xdr:col>
      <xdr:colOff>0</xdr:colOff>
      <xdr:row>90</xdr:row>
      <xdr:rowOff>19640</xdr:rowOff>
    </xdr:from>
    <xdr:to>
      <xdr:col>18</xdr:col>
      <xdr:colOff>152105</xdr:colOff>
      <xdr:row>118</xdr:row>
      <xdr:rowOff>108015</xdr:rowOff>
    </xdr:to>
    <xdr:pic>
      <xdr:nvPicPr>
        <xdr:cNvPr id="39" name="Picture 1"/>
        <xdr:cNvPicPr>
          <a:picLocks noChangeAspect="1" noChangeArrowheads="1"/>
        </xdr:cNvPicPr>
      </xdr:nvPicPr>
      <xdr:blipFill>
        <a:blip xmlns:r="http://schemas.openxmlformats.org/officeDocument/2006/relationships" r:embed="rId4"/>
        <a:srcRect l="5273" t="20258" b="12904"/>
        <a:stretch>
          <a:fillRect/>
        </a:stretch>
      </xdr:blipFill>
      <xdr:spPr bwMode="auto">
        <a:xfrm>
          <a:off x="0" y="15043609"/>
          <a:ext cx="12348033" cy="4762499"/>
        </a:xfrm>
        <a:prstGeom prst="rect">
          <a:avLst/>
        </a:prstGeom>
        <a:noFill/>
        <a:ln w="1">
          <a:noFill/>
          <a:miter lim="800000"/>
          <a:headEnd/>
          <a:tailEnd type="none" w="med" len="med"/>
        </a:ln>
        <a:effectLst/>
      </xdr:spPr>
    </xdr:pic>
    <xdr:clientData/>
  </xdr:twoCellAnchor>
  <xdr:twoCellAnchor>
    <xdr:from>
      <xdr:col>0</xdr:col>
      <xdr:colOff>113515</xdr:colOff>
      <xdr:row>91</xdr:row>
      <xdr:rowOff>34958</xdr:rowOff>
    </xdr:from>
    <xdr:to>
      <xdr:col>1</xdr:col>
      <xdr:colOff>440170</xdr:colOff>
      <xdr:row>92</xdr:row>
      <xdr:rowOff>144669</xdr:rowOff>
    </xdr:to>
    <xdr:sp macro="" textlink="">
      <xdr:nvSpPr>
        <xdr:cNvPr id="80" name="テキスト ボックス 79"/>
        <xdr:cNvSpPr txBox="1"/>
      </xdr:nvSpPr>
      <xdr:spPr>
        <a:xfrm>
          <a:off x="113515" y="1522586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a:t>
          </a:r>
        </a:p>
      </xdr:txBody>
    </xdr:sp>
    <xdr:clientData/>
  </xdr:twoCellAnchor>
  <xdr:twoCellAnchor>
    <xdr:from>
      <xdr:col>0</xdr:col>
      <xdr:colOff>114202</xdr:colOff>
      <xdr:row>93</xdr:row>
      <xdr:rowOff>23103</xdr:rowOff>
    </xdr:from>
    <xdr:to>
      <xdr:col>2</xdr:col>
      <xdr:colOff>409983</xdr:colOff>
      <xdr:row>98</xdr:row>
      <xdr:rowOff>0</xdr:rowOff>
    </xdr:to>
    <xdr:sp macro="" textlink="">
      <xdr:nvSpPr>
        <xdr:cNvPr id="81" name="テキスト ボックス 80"/>
        <xdr:cNvSpPr txBox="1"/>
      </xdr:nvSpPr>
      <xdr:spPr>
        <a:xfrm>
          <a:off x="114202" y="15547871"/>
          <a:ext cx="1650884" cy="81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長い下落トレンドが弱まってトレンド転換しそうだったので</a:t>
          </a:r>
          <a:r>
            <a:rPr kumimoji="1" lang="en-US" altLang="ja-JP" sz="1100"/>
            <a:t>IN</a:t>
          </a:r>
          <a:r>
            <a:rPr kumimoji="1" lang="ja-JP" altLang="en-US" sz="1100"/>
            <a:t>タイミングを探った</a:t>
          </a:r>
          <a:endParaRPr kumimoji="1" lang="en-US" altLang="ja-JP" sz="1100"/>
        </a:p>
      </xdr:txBody>
    </xdr:sp>
    <xdr:clientData/>
  </xdr:twoCellAnchor>
  <xdr:twoCellAnchor>
    <xdr:from>
      <xdr:col>12</xdr:col>
      <xdr:colOff>530650</xdr:colOff>
      <xdr:row>99</xdr:row>
      <xdr:rowOff>113121</xdr:rowOff>
    </xdr:from>
    <xdr:to>
      <xdr:col>15</xdr:col>
      <xdr:colOff>613921</xdr:colOff>
      <xdr:row>99</xdr:row>
      <xdr:rowOff>118228</xdr:rowOff>
    </xdr:to>
    <xdr:cxnSp macro="">
      <xdr:nvCxnSpPr>
        <xdr:cNvPr id="82" name="直線コネクタ 81"/>
        <xdr:cNvCxnSpPr/>
      </xdr:nvCxnSpPr>
      <xdr:spPr>
        <a:xfrm flipV="1">
          <a:off x="8661269" y="16639487"/>
          <a:ext cx="2115925"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466846</xdr:colOff>
      <xdr:row>92</xdr:row>
      <xdr:rowOff>157114</xdr:rowOff>
    </xdr:from>
    <xdr:to>
      <xdr:col>13</xdr:col>
      <xdr:colOff>305878</xdr:colOff>
      <xdr:row>94</xdr:row>
      <xdr:rowOff>163007</xdr:rowOff>
    </xdr:to>
    <xdr:sp macro="" textlink="">
      <xdr:nvSpPr>
        <xdr:cNvPr id="83" name="角丸四角形吹き出し 82"/>
        <xdr:cNvSpPr/>
      </xdr:nvSpPr>
      <xdr:spPr>
        <a:xfrm>
          <a:off x="7919913" y="15514949"/>
          <a:ext cx="1194135" cy="339759"/>
        </a:xfrm>
        <a:prstGeom prst="wedgeRoundRectCallout">
          <a:avLst>
            <a:gd name="adj1" fmla="val 34961"/>
            <a:gd name="adj2" fmla="val 1711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13</xdr:col>
      <xdr:colOff>511229</xdr:colOff>
      <xdr:row>91</xdr:row>
      <xdr:rowOff>54203</xdr:rowOff>
    </xdr:from>
    <xdr:to>
      <xdr:col>15</xdr:col>
      <xdr:colOff>598995</xdr:colOff>
      <xdr:row>94</xdr:row>
      <xdr:rowOff>19639</xdr:rowOff>
    </xdr:to>
    <xdr:sp macro="" textlink="">
      <xdr:nvSpPr>
        <xdr:cNvPr id="84" name="角丸四角形吹き出し 83"/>
        <xdr:cNvSpPr/>
      </xdr:nvSpPr>
      <xdr:spPr>
        <a:xfrm>
          <a:off x="9319399" y="15245105"/>
          <a:ext cx="1442869" cy="466235"/>
        </a:xfrm>
        <a:prstGeom prst="wedgeRoundRectCallout">
          <a:avLst>
            <a:gd name="adj1" fmla="val -35417"/>
            <a:gd name="adj2" fmla="val 788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直近高値も上抜いたように見えたが</a:t>
          </a:r>
          <a:r>
            <a:rPr kumimoji="1" lang="en-US" altLang="ja-JP" sz="1100"/>
            <a:t>…</a:t>
          </a:r>
          <a:endParaRPr kumimoji="1" lang="ja-JP" altLang="en-US" sz="1100"/>
        </a:p>
      </xdr:txBody>
    </xdr:sp>
    <xdr:clientData/>
  </xdr:twoCellAnchor>
  <xdr:twoCellAnchor>
    <xdr:from>
      <xdr:col>14</xdr:col>
      <xdr:colOff>575252</xdr:colOff>
      <xdr:row>94</xdr:row>
      <xdr:rowOff>88376</xdr:rowOff>
    </xdr:from>
    <xdr:to>
      <xdr:col>17</xdr:col>
      <xdr:colOff>98196</xdr:colOff>
      <xdr:row>97</xdr:row>
      <xdr:rowOff>78557</xdr:rowOff>
    </xdr:to>
    <xdr:sp macro="" textlink="">
      <xdr:nvSpPr>
        <xdr:cNvPr id="85" name="角丸四角形吹き出し 84"/>
        <xdr:cNvSpPr/>
      </xdr:nvSpPr>
      <xdr:spPr>
        <a:xfrm>
          <a:off x="10060974" y="15780077"/>
          <a:ext cx="1555598" cy="490980"/>
        </a:xfrm>
        <a:prstGeom prst="wedgeRoundRectCallout">
          <a:avLst>
            <a:gd name="adj1" fmla="val -54325"/>
            <a:gd name="adj2" fmla="val 1219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ストップ建値移動を忘れていて被害拡大</a:t>
          </a:r>
          <a:r>
            <a:rPr kumimoji="1" lang="en-US" altLang="ja-JP" sz="1100"/>
            <a:t>×</a:t>
          </a:r>
          <a:endParaRPr kumimoji="1" lang="ja-JP" altLang="en-US" sz="1100"/>
        </a:p>
      </xdr:txBody>
    </xdr:sp>
    <xdr:clientData/>
  </xdr:twoCellAnchor>
  <xdr:twoCellAnchor>
    <xdr:from>
      <xdr:col>0</xdr:col>
      <xdr:colOff>167936</xdr:colOff>
      <xdr:row>98</xdr:row>
      <xdr:rowOff>132761</xdr:rowOff>
    </xdr:from>
    <xdr:to>
      <xdr:col>2</xdr:col>
      <xdr:colOff>368431</xdr:colOff>
      <xdr:row>101</xdr:row>
      <xdr:rowOff>122942</xdr:rowOff>
    </xdr:to>
    <xdr:sp macro="" textlink="">
      <xdr:nvSpPr>
        <xdr:cNvPr id="86" name="角丸四角形吹き出し 85"/>
        <xdr:cNvSpPr/>
      </xdr:nvSpPr>
      <xdr:spPr>
        <a:xfrm>
          <a:off x="167936" y="16492194"/>
          <a:ext cx="1555598" cy="490980"/>
        </a:xfrm>
        <a:prstGeom prst="wedgeRoundRectCallout">
          <a:avLst>
            <a:gd name="adj1" fmla="val -23394"/>
            <a:gd name="adj2" fmla="val -820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これは自分ルールではなかった</a:t>
          </a:r>
          <a:r>
            <a:rPr kumimoji="1" lang="en-US" altLang="ja-JP" sz="1100"/>
            <a:t>×</a:t>
          </a: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171744</xdr:colOff>
      <xdr:row>28</xdr:row>
      <xdr:rowOff>137474</xdr:rowOff>
    </xdr:to>
    <xdr:pic>
      <xdr:nvPicPr>
        <xdr:cNvPr id="35" name="Picture 1"/>
        <xdr:cNvPicPr>
          <a:picLocks noChangeAspect="1" noChangeArrowheads="1"/>
        </xdr:cNvPicPr>
      </xdr:nvPicPr>
      <xdr:blipFill>
        <a:blip xmlns:r="http://schemas.openxmlformats.org/officeDocument/2006/relationships" r:embed="rId1"/>
        <a:srcRect l="5122" t="19982" b="12491"/>
        <a:stretch>
          <a:fillRect/>
        </a:stretch>
      </xdr:blipFill>
      <xdr:spPr bwMode="auto">
        <a:xfrm>
          <a:off x="0" y="0"/>
          <a:ext cx="12367672" cy="4811598"/>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xdr:from>
      <xdr:col>0</xdr:col>
      <xdr:colOff>151714</xdr:colOff>
      <xdr:row>1</xdr:row>
      <xdr:rowOff>9819</xdr:rowOff>
    </xdr:from>
    <xdr:to>
      <xdr:col>1</xdr:col>
      <xdr:colOff>478369</xdr:colOff>
      <xdr:row>2</xdr:row>
      <xdr:rowOff>119530</xdr:rowOff>
    </xdr:to>
    <xdr:sp macro="" textlink="">
      <xdr:nvSpPr>
        <xdr:cNvPr id="36" name="テキスト ボックス 35"/>
        <xdr:cNvSpPr txBox="1"/>
      </xdr:nvSpPr>
      <xdr:spPr>
        <a:xfrm>
          <a:off x="151714" y="17675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a:t>
          </a:r>
        </a:p>
      </xdr:txBody>
    </xdr:sp>
    <xdr:clientData/>
  </xdr:twoCellAnchor>
  <xdr:twoCellAnchor>
    <xdr:from>
      <xdr:col>11</xdr:col>
      <xdr:colOff>475193</xdr:colOff>
      <xdr:row>1</xdr:row>
      <xdr:rowOff>73452</xdr:rowOff>
    </xdr:from>
    <xdr:to>
      <xdr:col>13</xdr:col>
      <xdr:colOff>314225</xdr:colOff>
      <xdr:row>5</xdr:row>
      <xdr:rowOff>117835</xdr:rowOff>
    </xdr:to>
    <xdr:sp macro="" textlink="">
      <xdr:nvSpPr>
        <xdr:cNvPr id="38" name="角丸四角形吹き出し 37"/>
        <xdr:cNvSpPr/>
      </xdr:nvSpPr>
      <xdr:spPr>
        <a:xfrm>
          <a:off x="7928260" y="240385"/>
          <a:ext cx="1194135" cy="712115"/>
        </a:xfrm>
        <a:prstGeom prst="wedgeRoundRectCallout">
          <a:avLst>
            <a:gd name="adj1" fmla="val -74408"/>
            <a:gd name="adj2" fmla="val 8015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２回目の戻り</a:t>
          </a: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0</xdr:col>
      <xdr:colOff>152401</xdr:colOff>
      <xdr:row>2</xdr:row>
      <xdr:rowOff>164897</xdr:rowOff>
    </xdr:from>
    <xdr:to>
      <xdr:col>2</xdr:col>
      <xdr:colOff>448182</xdr:colOff>
      <xdr:row>7</xdr:row>
      <xdr:rowOff>39278</xdr:rowOff>
    </xdr:to>
    <xdr:sp macro="" textlink="">
      <xdr:nvSpPr>
        <xdr:cNvPr id="40" name="テキスト ボックス 39"/>
        <xdr:cNvSpPr txBox="1"/>
      </xdr:nvSpPr>
      <xdr:spPr>
        <a:xfrm>
          <a:off x="152401" y="498763"/>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足レベルのウェッジブレイク後の２回目の戻りで</a:t>
          </a:r>
          <a:r>
            <a:rPr kumimoji="1" lang="en-US" altLang="ja-JP" sz="1100"/>
            <a:t>IN</a:t>
          </a:r>
        </a:p>
      </xdr:txBody>
    </xdr:sp>
    <xdr:clientData/>
  </xdr:twoCellAnchor>
  <xdr:twoCellAnchor>
    <xdr:from>
      <xdr:col>10</xdr:col>
      <xdr:colOff>373144</xdr:colOff>
      <xdr:row>5</xdr:row>
      <xdr:rowOff>127656</xdr:rowOff>
    </xdr:from>
    <xdr:to>
      <xdr:col>11</xdr:col>
      <xdr:colOff>245489</xdr:colOff>
      <xdr:row>9</xdr:row>
      <xdr:rowOff>127656</xdr:rowOff>
    </xdr:to>
    <xdr:cxnSp macro="">
      <xdr:nvCxnSpPr>
        <xdr:cNvPr id="68" name="直線コネクタ 67"/>
        <xdr:cNvCxnSpPr/>
      </xdr:nvCxnSpPr>
      <xdr:spPr>
        <a:xfrm rot="5400000" flipH="1" flipV="1">
          <a:off x="7089742" y="1021238"/>
          <a:ext cx="667732" cy="54989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304408</xdr:colOff>
      <xdr:row>9</xdr:row>
      <xdr:rowOff>117835</xdr:rowOff>
    </xdr:from>
    <xdr:to>
      <xdr:col>13</xdr:col>
      <xdr:colOff>549897</xdr:colOff>
      <xdr:row>9</xdr:row>
      <xdr:rowOff>117837</xdr:rowOff>
    </xdr:to>
    <xdr:cxnSp macro="">
      <xdr:nvCxnSpPr>
        <xdr:cNvPr id="71" name="直線コネクタ 70"/>
        <xdr:cNvCxnSpPr/>
      </xdr:nvCxnSpPr>
      <xdr:spPr>
        <a:xfrm flipV="1">
          <a:off x="7079923" y="1620232"/>
          <a:ext cx="2278144"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401744</xdr:colOff>
      <xdr:row>4</xdr:row>
      <xdr:rowOff>9821</xdr:rowOff>
    </xdr:from>
    <xdr:to>
      <xdr:col>15</xdr:col>
      <xdr:colOff>240776</xdr:colOff>
      <xdr:row>8</xdr:row>
      <xdr:rowOff>54204</xdr:rowOff>
    </xdr:to>
    <xdr:sp macro="" textlink="">
      <xdr:nvSpPr>
        <xdr:cNvPr id="83" name="角丸四角形吹き出し 82"/>
        <xdr:cNvSpPr/>
      </xdr:nvSpPr>
      <xdr:spPr>
        <a:xfrm>
          <a:off x="9209914" y="677553"/>
          <a:ext cx="1194135" cy="712115"/>
        </a:xfrm>
        <a:prstGeom prst="wedgeRoundRectCallout">
          <a:avLst>
            <a:gd name="adj1" fmla="val -82631"/>
            <a:gd name="adj2" fmla="val 7050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ストップ移動した所をヒゲで刈られた</a:t>
          </a:r>
          <a:r>
            <a:rPr kumimoji="1" lang="en-US" altLang="ja-JP" sz="1100"/>
            <a:t>×</a:t>
          </a:r>
          <a:endParaRPr kumimoji="1" lang="ja-JP" altLang="en-US" sz="1100"/>
        </a:p>
      </xdr:txBody>
    </xdr:sp>
    <xdr:clientData/>
  </xdr:twoCellAnchor>
  <xdr:twoCellAnchor>
    <xdr:from>
      <xdr:col>0</xdr:col>
      <xdr:colOff>446128</xdr:colOff>
      <xdr:row>7</xdr:row>
      <xdr:rowOff>142582</xdr:rowOff>
    </xdr:from>
    <xdr:to>
      <xdr:col>2</xdr:col>
      <xdr:colOff>441882</xdr:colOff>
      <xdr:row>12</xdr:row>
      <xdr:rowOff>20032</xdr:rowOff>
    </xdr:to>
    <xdr:sp macro="" textlink="">
      <xdr:nvSpPr>
        <xdr:cNvPr id="84" name="角丸四角形吹き出し 83"/>
        <xdr:cNvSpPr/>
      </xdr:nvSpPr>
      <xdr:spPr>
        <a:xfrm>
          <a:off x="446128" y="1311113"/>
          <a:ext cx="1350857" cy="712115"/>
        </a:xfrm>
        <a:prstGeom prst="wedgeRoundRectCallout">
          <a:avLst>
            <a:gd name="adj1" fmla="val -49929"/>
            <a:gd name="adj2" fmla="val 167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ストップ移動にはヒゲ分の考慮が必要！</a:t>
          </a:r>
        </a:p>
      </xdr:txBody>
    </xdr:sp>
    <xdr:clientData/>
  </xdr:twoCellAnchor>
  <xdr:twoCellAnchor>
    <xdr:from>
      <xdr:col>0</xdr:col>
      <xdr:colOff>559249</xdr:colOff>
      <xdr:row>13</xdr:row>
      <xdr:rowOff>29853</xdr:rowOff>
    </xdr:from>
    <xdr:to>
      <xdr:col>3</xdr:col>
      <xdr:colOff>157113</xdr:colOff>
      <xdr:row>17</xdr:row>
      <xdr:rowOff>88376</xdr:rowOff>
    </xdr:to>
    <xdr:sp macro="" textlink="">
      <xdr:nvSpPr>
        <xdr:cNvPr id="85" name="角丸四角形吹き出し 84"/>
        <xdr:cNvSpPr/>
      </xdr:nvSpPr>
      <xdr:spPr>
        <a:xfrm>
          <a:off x="559249" y="2199982"/>
          <a:ext cx="1630519" cy="726255"/>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建値にストップ移動した後は動かさない方が獲れる確率高い</a:t>
          </a:r>
        </a:p>
      </xdr:txBody>
    </xdr:sp>
    <xdr:clientData/>
  </xdr:twoCellAnchor>
  <xdr:twoCellAnchor editAs="oneCell">
    <xdr:from>
      <xdr:col>0</xdr:col>
      <xdr:colOff>0</xdr:colOff>
      <xdr:row>29</xdr:row>
      <xdr:rowOff>157114</xdr:rowOff>
    </xdr:from>
    <xdr:to>
      <xdr:col>18</xdr:col>
      <xdr:colOff>142285</xdr:colOff>
      <xdr:row>58</xdr:row>
      <xdr:rowOff>117835</xdr:rowOff>
    </xdr:to>
    <xdr:pic>
      <xdr:nvPicPr>
        <xdr:cNvPr id="11266" name="Picture 2"/>
        <xdr:cNvPicPr>
          <a:picLocks noChangeAspect="1" noChangeArrowheads="1"/>
        </xdr:cNvPicPr>
      </xdr:nvPicPr>
      <xdr:blipFill>
        <a:blip xmlns:r="http://schemas.openxmlformats.org/officeDocument/2006/relationships" r:embed="rId2"/>
        <a:srcRect l="5348" t="19707" b="12904"/>
        <a:stretch>
          <a:fillRect/>
        </a:stretch>
      </xdr:blipFill>
      <xdr:spPr bwMode="auto">
        <a:xfrm>
          <a:off x="0" y="4998171"/>
          <a:ext cx="12338213" cy="4801777"/>
        </a:xfrm>
        <a:prstGeom prst="rect">
          <a:avLst/>
        </a:prstGeom>
        <a:noFill/>
        <a:ln w="1">
          <a:noFill/>
          <a:miter lim="800000"/>
          <a:headEnd/>
          <a:tailEnd type="none" w="med" len="med"/>
        </a:ln>
        <a:effectLst/>
      </xdr:spPr>
    </xdr:pic>
    <xdr:clientData/>
  </xdr:twoCellAnchor>
  <xdr:twoCellAnchor>
    <xdr:from>
      <xdr:col>14</xdr:col>
      <xdr:colOff>627592</xdr:colOff>
      <xdr:row>35</xdr:row>
      <xdr:rowOff>19639</xdr:rowOff>
    </xdr:from>
    <xdr:to>
      <xdr:col>16</xdr:col>
      <xdr:colOff>466624</xdr:colOff>
      <xdr:row>41</xdr:row>
      <xdr:rowOff>14926</xdr:rowOff>
    </xdr:to>
    <xdr:sp macro="" textlink="">
      <xdr:nvSpPr>
        <xdr:cNvPr id="86" name="角丸四角形吹き出し 85"/>
        <xdr:cNvSpPr/>
      </xdr:nvSpPr>
      <xdr:spPr>
        <a:xfrm>
          <a:off x="10113314" y="5862294"/>
          <a:ext cx="1194135" cy="996885"/>
        </a:xfrm>
        <a:prstGeom prst="wedgeRoundRectCallout">
          <a:avLst>
            <a:gd name="adj1" fmla="val -77698"/>
            <a:gd name="adj2" fmla="val 787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２回目の戻り</a:t>
          </a:r>
          <a:r>
            <a:rPr kumimoji="1" lang="en-US" altLang="ja-JP" sz="1100"/>
            <a:t>+T/L</a:t>
          </a:r>
          <a:r>
            <a:rPr kumimoji="1" lang="ja-JP" altLang="en-US" sz="1100"/>
            <a:t>ブレイクで</a:t>
          </a:r>
          <a:r>
            <a:rPr kumimoji="1" lang="en-US" altLang="ja-JP" sz="1100"/>
            <a:t>IN…</a:t>
          </a:r>
          <a:r>
            <a:rPr kumimoji="1" lang="ja-JP" altLang="en-US" sz="1100"/>
            <a:t>を狙ってたら急落！！</a:t>
          </a:r>
          <a:endParaRPr kumimoji="1" lang="en-US" altLang="ja-JP" sz="1100"/>
        </a:p>
        <a:p>
          <a:pPr algn="ctr"/>
          <a:r>
            <a:rPr kumimoji="1" lang="ja-JP" altLang="en-US" sz="1100"/>
            <a:t>で、スルー。。</a:t>
          </a:r>
        </a:p>
      </xdr:txBody>
    </xdr:sp>
    <xdr:clientData/>
  </xdr:twoCellAnchor>
  <xdr:twoCellAnchor>
    <xdr:from>
      <xdr:col>0</xdr:col>
      <xdr:colOff>137868</xdr:colOff>
      <xdr:row>33</xdr:row>
      <xdr:rowOff>61985</xdr:rowOff>
    </xdr:from>
    <xdr:to>
      <xdr:col>2</xdr:col>
      <xdr:colOff>433649</xdr:colOff>
      <xdr:row>38</xdr:row>
      <xdr:rowOff>78555</xdr:rowOff>
    </xdr:to>
    <xdr:sp macro="" textlink="">
      <xdr:nvSpPr>
        <xdr:cNvPr id="87" name="テキスト ボックス 86"/>
        <xdr:cNvSpPr txBox="1"/>
      </xdr:nvSpPr>
      <xdr:spPr>
        <a:xfrm>
          <a:off x="137868" y="5570774"/>
          <a:ext cx="1650884" cy="85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足レベルのフラッグジブレイク後の２回目の戻りで</a:t>
          </a:r>
          <a:r>
            <a:rPr kumimoji="1" lang="en-US" altLang="ja-JP" sz="1100"/>
            <a:t>IN</a:t>
          </a:r>
          <a:r>
            <a:rPr kumimoji="1" lang="ja-JP" altLang="en-US" sz="1100"/>
            <a:t>するつもりが、急落でスルー</a:t>
          </a:r>
          <a:r>
            <a:rPr kumimoji="1" lang="en-US" altLang="ja-JP" sz="1100"/>
            <a:t>orz</a:t>
          </a:r>
        </a:p>
      </xdr:txBody>
    </xdr:sp>
    <xdr:clientData/>
  </xdr:twoCellAnchor>
  <xdr:twoCellAnchor>
    <xdr:from>
      <xdr:col>13</xdr:col>
      <xdr:colOff>72984</xdr:colOff>
      <xdr:row>36</xdr:row>
      <xdr:rowOff>49098</xdr:rowOff>
    </xdr:from>
    <xdr:to>
      <xdr:col>14</xdr:col>
      <xdr:colOff>422242</xdr:colOff>
      <xdr:row>39</xdr:row>
      <xdr:rowOff>78949</xdr:rowOff>
    </xdr:to>
    <xdr:sp macro="" textlink="">
      <xdr:nvSpPr>
        <xdr:cNvPr id="89" name="角丸四角形吹き出し 88"/>
        <xdr:cNvSpPr/>
      </xdr:nvSpPr>
      <xdr:spPr>
        <a:xfrm>
          <a:off x="8881154" y="6058686"/>
          <a:ext cx="1026810" cy="530650"/>
        </a:xfrm>
        <a:prstGeom prst="wedgeRoundRectCallout">
          <a:avLst>
            <a:gd name="adj1" fmla="val -78233"/>
            <a:gd name="adj2" fmla="val 8940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直近安値の</a:t>
          </a:r>
          <a:r>
            <a:rPr kumimoji="1" lang="en-US" altLang="ja-JP" sz="1100"/>
            <a:t>S/R</a:t>
          </a:r>
          <a:endParaRPr kumimoji="1" lang="ja-JP" altLang="en-US" sz="1100"/>
        </a:p>
      </xdr:txBody>
    </xdr:sp>
    <xdr:clientData/>
  </xdr:twoCellAnchor>
  <xdr:twoCellAnchor>
    <xdr:from>
      <xdr:col>9</xdr:col>
      <xdr:colOff>411955</xdr:colOff>
      <xdr:row>33</xdr:row>
      <xdr:rowOff>68737</xdr:rowOff>
    </xdr:from>
    <xdr:to>
      <xdr:col>11</xdr:col>
      <xdr:colOff>127655</xdr:colOff>
      <xdr:row>36</xdr:row>
      <xdr:rowOff>142973</xdr:rowOff>
    </xdr:to>
    <xdr:sp macro="" textlink="">
      <xdr:nvSpPr>
        <xdr:cNvPr id="90" name="角丸四角形吹き出し 89"/>
        <xdr:cNvSpPr/>
      </xdr:nvSpPr>
      <xdr:spPr>
        <a:xfrm>
          <a:off x="6509919" y="5577526"/>
          <a:ext cx="1070803" cy="575035"/>
        </a:xfrm>
        <a:prstGeom prst="wedgeRoundRectCallout">
          <a:avLst>
            <a:gd name="adj1" fmla="val -74408"/>
            <a:gd name="adj2" fmla="val 9039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をブレイク</a:t>
          </a:r>
        </a:p>
      </xdr:txBody>
    </xdr:sp>
    <xdr:clientData/>
  </xdr:twoCellAnchor>
  <xdr:twoCellAnchor>
    <xdr:from>
      <xdr:col>0</xdr:col>
      <xdr:colOff>147000</xdr:colOff>
      <xdr:row>31</xdr:row>
      <xdr:rowOff>34564</xdr:rowOff>
    </xdr:from>
    <xdr:to>
      <xdr:col>1</xdr:col>
      <xdr:colOff>473655</xdr:colOff>
      <xdr:row>32</xdr:row>
      <xdr:rowOff>144275</xdr:rowOff>
    </xdr:to>
    <xdr:sp macro="" textlink="">
      <xdr:nvSpPr>
        <xdr:cNvPr id="91" name="テキスト ボックス 90"/>
        <xdr:cNvSpPr txBox="1"/>
      </xdr:nvSpPr>
      <xdr:spPr>
        <a:xfrm>
          <a:off x="147000" y="520948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番外</a:t>
          </a:r>
          <a:endParaRPr kumimoji="1" lang="en-US" altLang="ja-JP" sz="1100"/>
        </a:p>
      </xdr:txBody>
    </xdr:sp>
    <xdr:clientData/>
  </xdr:twoCellAnchor>
  <xdr:twoCellAnchor>
    <xdr:from>
      <xdr:col>0</xdr:col>
      <xdr:colOff>201031</xdr:colOff>
      <xdr:row>39</xdr:row>
      <xdr:rowOff>84057</xdr:rowOff>
    </xdr:from>
    <xdr:to>
      <xdr:col>2</xdr:col>
      <xdr:colOff>476447</xdr:colOff>
      <xdr:row>43</xdr:row>
      <xdr:rowOff>142580</xdr:rowOff>
    </xdr:to>
    <xdr:sp macro="" textlink="">
      <xdr:nvSpPr>
        <xdr:cNvPr id="92" name="角丸四角形吹き出し 91"/>
        <xdr:cNvSpPr/>
      </xdr:nvSpPr>
      <xdr:spPr>
        <a:xfrm>
          <a:off x="201031" y="6594444"/>
          <a:ext cx="1630519" cy="726255"/>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この鉄板ルールに嵌ったら指値も打つ！</a:t>
          </a:r>
        </a:p>
      </xdr:txBody>
    </xdr:sp>
    <xdr:clientData/>
  </xdr:twoCellAnchor>
  <xdr:twoCellAnchor>
    <xdr:from>
      <xdr:col>1</xdr:col>
      <xdr:colOff>216030</xdr:colOff>
      <xdr:row>45</xdr:row>
      <xdr:rowOff>30246</xdr:rowOff>
    </xdr:from>
    <xdr:to>
      <xdr:col>14</xdr:col>
      <xdr:colOff>166933</xdr:colOff>
      <xdr:row>51</xdr:row>
      <xdr:rowOff>39279</xdr:rowOff>
    </xdr:to>
    <xdr:sp macro="" textlink="">
      <xdr:nvSpPr>
        <xdr:cNvPr id="93" name="角丸四角形吹き出し 92"/>
        <xdr:cNvSpPr/>
      </xdr:nvSpPr>
      <xdr:spPr>
        <a:xfrm>
          <a:off x="893582" y="7542231"/>
          <a:ext cx="8759073" cy="1010630"/>
        </a:xfrm>
        <a:prstGeom prst="wedgeRoundRectCallout">
          <a:avLst>
            <a:gd name="adj1" fmla="val -23508"/>
            <a:gd name="adj2" fmla="val -4791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3200" b="1"/>
            <a:t>今月はこの鉄板パターンのみに絞る！！！！！</a:t>
          </a:r>
          <a:endParaRPr kumimoji="1" lang="en-US" altLang="ja-JP" sz="3200" b="1"/>
        </a:p>
      </xdr:txBody>
    </xdr:sp>
    <xdr:clientData/>
  </xdr:twoCellAnchor>
  <xdr:twoCellAnchor editAs="oneCell">
    <xdr:from>
      <xdr:col>0</xdr:col>
      <xdr:colOff>0</xdr:colOff>
      <xdr:row>59</xdr:row>
      <xdr:rowOff>157114</xdr:rowOff>
    </xdr:from>
    <xdr:to>
      <xdr:col>18</xdr:col>
      <xdr:colOff>132466</xdr:colOff>
      <xdr:row>88</xdr:row>
      <xdr:rowOff>117835</xdr:rowOff>
    </xdr:to>
    <xdr:pic>
      <xdr:nvPicPr>
        <xdr:cNvPr id="10241" name="Picture 1"/>
        <xdr:cNvPicPr>
          <a:picLocks noChangeAspect="1" noChangeArrowheads="1"/>
        </xdr:cNvPicPr>
      </xdr:nvPicPr>
      <xdr:blipFill>
        <a:blip xmlns:r="http://schemas.openxmlformats.org/officeDocument/2006/relationships" r:embed="rId3"/>
        <a:srcRect l="5424" t="19845" b="12767"/>
        <a:stretch>
          <a:fillRect/>
        </a:stretch>
      </xdr:blipFill>
      <xdr:spPr bwMode="auto">
        <a:xfrm>
          <a:off x="0" y="10006160"/>
          <a:ext cx="12328394" cy="4801778"/>
        </a:xfrm>
        <a:prstGeom prst="rect">
          <a:avLst/>
        </a:prstGeom>
        <a:noFill/>
        <a:ln w="1">
          <a:noFill/>
          <a:miter lim="800000"/>
          <a:headEnd/>
          <a:tailEnd type="none" w="med" len="med"/>
        </a:ln>
        <a:effectLst/>
      </xdr:spPr>
    </xdr:pic>
    <xdr:clientData/>
  </xdr:twoCellAnchor>
  <xdr:twoCellAnchor>
    <xdr:from>
      <xdr:col>0</xdr:col>
      <xdr:colOff>133154</xdr:colOff>
      <xdr:row>63</xdr:row>
      <xdr:rowOff>67092</xdr:rowOff>
    </xdr:from>
    <xdr:to>
      <xdr:col>2</xdr:col>
      <xdr:colOff>428935</xdr:colOff>
      <xdr:row>68</xdr:row>
      <xdr:rowOff>83662</xdr:rowOff>
    </xdr:to>
    <xdr:sp macro="" textlink="">
      <xdr:nvSpPr>
        <xdr:cNvPr id="53" name="テキスト ボックス 52"/>
        <xdr:cNvSpPr txBox="1"/>
      </xdr:nvSpPr>
      <xdr:spPr>
        <a:xfrm>
          <a:off x="133154" y="10583870"/>
          <a:ext cx="1650884" cy="85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H&amp;S</a:t>
          </a:r>
          <a:r>
            <a:rPr kumimoji="1" lang="ja-JP" altLang="en-US" sz="1100"/>
            <a:t>が見えたので</a:t>
          </a:r>
          <a:r>
            <a:rPr kumimoji="1" lang="en-US" altLang="ja-JP" sz="1100"/>
            <a:t>IN</a:t>
          </a:r>
          <a:r>
            <a:rPr kumimoji="1" lang="ja-JP" altLang="en-US" sz="1100"/>
            <a:t>タイミングを待ったが、右肩の維持時間が長くキャンセル</a:t>
          </a:r>
          <a:endParaRPr kumimoji="1" lang="en-US" altLang="ja-JP" sz="1100"/>
        </a:p>
      </xdr:txBody>
    </xdr:sp>
    <xdr:clientData/>
  </xdr:twoCellAnchor>
  <xdr:twoCellAnchor>
    <xdr:from>
      <xdr:col>13</xdr:col>
      <xdr:colOff>34096</xdr:colOff>
      <xdr:row>70</xdr:row>
      <xdr:rowOff>73844</xdr:rowOff>
    </xdr:from>
    <xdr:to>
      <xdr:col>14</xdr:col>
      <xdr:colOff>579355</xdr:colOff>
      <xdr:row>74</xdr:row>
      <xdr:rowOff>58918</xdr:rowOff>
    </xdr:to>
    <xdr:sp macro="" textlink="">
      <xdr:nvSpPr>
        <xdr:cNvPr id="54" name="角丸四角形吹き出し 53"/>
        <xdr:cNvSpPr/>
      </xdr:nvSpPr>
      <xdr:spPr>
        <a:xfrm>
          <a:off x="8842266" y="11759153"/>
          <a:ext cx="1222811" cy="652806"/>
        </a:xfrm>
        <a:prstGeom prst="wedgeRoundRectCallout">
          <a:avLst>
            <a:gd name="adj1" fmla="val -52042"/>
            <a:gd name="adj2" fmla="val -1193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左肩より時間が長くなったら疑った方が無難</a:t>
          </a:r>
        </a:p>
      </xdr:txBody>
    </xdr:sp>
    <xdr:clientData/>
  </xdr:twoCellAnchor>
  <xdr:twoCellAnchor>
    <xdr:from>
      <xdr:col>0</xdr:col>
      <xdr:colOff>142286</xdr:colOff>
      <xdr:row>61</xdr:row>
      <xdr:rowOff>39671</xdr:rowOff>
    </xdr:from>
    <xdr:to>
      <xdr:col>1</xdr:col>
      <xdr:colOff>468941</xdr:colOff>
      <xdr:row>62</xdr:row>
      <xdr:rowOff>149382</xdr:rowOff>
    </xdr:to>
    <xdr:sp macro="" textlink="">
      <xdr:nvSpPr>
        <xdr:cNvPr id="55" name="テキスト ボックス 54"/>
        <xdr:cNvSpPr txBox="1"/>
      </xdr:nvSpPr>
      <xdr:spPr>
        <a:xfrm>
          <a:off x="142286" y="10222583"/>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番外</a:t>
          </a:r>
          <a:endParaRPr kumimoji="1" lang="en-US" altLang="ja-JP" sz="1100"/>
        </a:p>
      </xdr:txBody>
    </xdr:sp>
    <xdr:clientData/>
  </xdr:twoCellAnchor>
  <xdr:twoCellAnchor>
    <xdr:from>
      <xdr:col>11</xdr:col>
      <xdr:colOff>78558</xdr:colOff>
      <xdr:row>61</xdr:row>
      <xdr:rowOff>127658</xdr:rowOff>
    </xdr:from>
    <xdr:to>
      <xdr:col>11</xdr:col>
      <xdr:colOff>88376</xdr:colOff>
      <xdr:row>71</xdr:row>
      <xdr:rowOff>68738</xdr:rowOff>
    </xdr:to>
    <xdr:cxnSp macro="">
      <xdr:nvCxnSpPr>
        <xdr:cNvPr id="58" name="直線コネクタ 57"/>
        <xdr:cNvCxnSpPr/>
      </xdr:nvCxnSpPr>
      <xdr:spPr>
        <a:xfrm rot="5400000">
          <a:off x="6731329" y="11110866"/>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122942</xdr:colOff>
      <xdr:row>62</xdr:row>
      <xdr:rowOff>24748</xdr:rowOff>
    </xdr:from>
    <xdr:to>
      <xdr:col>12</xdr:col>
      <xdr:colOff>132760</xdr:colOff>
      <xdr:row>71</xdr:row>
      <xdr:rowOff>132761</xdr:rowOff>
    </xdr:to>
    <xdr:cxnSp macro="">
      <xdr:nvCxnSpPr>
        <xdr:cNvPr id="60" name="直線コネクタ 59"/>
        <xdr:cNvCxnSpPr/>
      </xdr:nvCxnSpPr>
      <xdr:spPr>
        <a:xfrm rot="5400000">
          <a:off x="7453265" y="11174889"/>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255704</xdr:colOff>
      <xdr:row>62</xdr:row>
      <xdr:rowOff>98592</xdr:rowOff>
    </xdr:from>
    <xdr:to>
      <xdr:col>10</xdr:col>
      <xdr:colOff>265522</xdr:colOff>
      <xdr:row>72</xdr:row>
      <xdr:rowOff>39672</xdr:rowOff>
    </xdr:to>
    <xdr:cxnSp macro="">
      <xdr:nvCxnSpPr>
        <xdr:cNvPr id="61" name="直線コネクタ 60"/>
        <xdr:cNvCxnSpPr/>
      </xdr:nvCxnSpPr>
      <xdr:spPr>
        <a:xfrm rot="5400000">
          <a:off x="6230923" y="11248733"/>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648486</xdr:colOff>
      <xdr:row>62</xdr:row>
      <xdr:rowOff>78952</xdr:rowOff>
    </xdr:from>
    <xdr:to>
      <xdr:col>12</xdr:col>
      <xdr:colOff>658304</xdr:colOff>
      <xdr:row>72</xdr:row>
      <xdr:rowOff>20032</xdr:rowOff>
    </xdr:to>
    <xdr:cxnSp macro="">
      <xdr:nvCxnSpPr>
        <xdr:cNvPr id="62" name="直線コネクタ 61"/>
        <xdr:cNvCxnSpPr/>
      </xdr:nvCxnSpPr>
      <xdr:spPr>
        <a:xfrm rot="5400000">
          <a:off x="7978809" y="11229093"/>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8"/>
  <sheetViews>
    <sheetView tabSelected="1" zoomScaleSheetLayoutView="100" workbookViewId="0">
      <pane ySplit="1" topLeftCell="A7" activePane="bottomLeft" state="frozen"/>
      <selection pane="bottomLeft" activeCell="A7" sqref="A7:A8"/>
    </sheetView>
  </sheetViews>
  <sheetFormatPr defaultColWidth="10" defaultRowHeight="13.5" customHeight="1"/>
  <cols>
    <col min="1" max="1" width="3.875" customWidth="1"/>
    <col min="2" max="2" width="23.5" style="92"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86" t="s">
        <v>68</v>
      </c>
      <c r="B1" s="87" t="s">
        <v>124</v>
      </c>
      <c r="C1" s="88" t="s">
        <v>116</v>
      </c>
      <c r="D1" s="180" t="s">
        <v>117</v>
      </c>
      <c r="E1" s="180"/>
      <c r="F1" s="180"/>
      <c r="G1" s="180"/>
      <c r="H1" s="180"/>
      <c r="I1" s="180"/>
      <c r="J1" s="180"/>
      <c r="K1" s="180"/>
      <c r="L1" s="180"/>
    </row>
    <row r="2" spans="1:12" ht="29.25" customHeight="1">
      <c r="A2" s="89">
        <v>1</v>
      </c>
      <c r="B2" s="90" t="s">
        <v>118</v>
      </c>
      <c r="C2" s="90" t="s">
        <v>119</v>
      </c>
      <c r="D2" s="181" t="s">
        <v>120</v>
      </c>
      <c r="E2" s="182"/>
      <c r="F2" s="182"/>
      <c r="G2" s="182"/>
      <c r="H2" s="182"/>
      <c r="I2" s="182"/>
      <c r="J2" s="182"/>
      <c r="K2" s="182"/>
      <c r="L2" s="182"/>
    </row>
    <row r="3" spans="1:12" ht="127.5" customHeight="1">
      <c r="A3" s="97">
        <v>2</v>
      </c>
      <c r="B3" s="91" t="s">
        <v>121</v>
      </c>
      <c r="C3" s="91" t="s">
        <v>122</v>
      </c>
      <c r="D3" s="183" t="s">
        <v>123</v>
      </c>
      <c r="E3" s="176"/>
      <c r="F3" s="176"/>
      <c r="G3" s="176"/>
      <c r="H3" s="176"/>
      <c r="I3" s="176"/>
      <c r="J3" s="176"/>
      <c r="K3" s="176"/>
      <c r="L3" s="176"/>
    </row>
    <row r="4" spans="1:12" ht="80.25" customHeight="1">
      <c r="A4" s="97">
        <v>3</v>
      </c>
      <c r="B4" s="91" t="s">
        <v>121</v>
      </c>
      <c r="C4" s="91" t="s">
        <v>125</v>
      </c>
      <c r="D4" s="175" t="s">
        <v>145</v>
      </c>
      <c r="E4" s="176"/>
      <c r="F4" s="176"/>
      <c r="G4" s="176"/>
      <c r="H4" s="176"/>
      <c r="I4" s="176"/>
      <c r="J4" s="176"/>
      <c r="K4" s="176"/>
      <c r="L4" s="176"/>
    </row>
    <row r="5" spans="1:12" ht="150.75" customHeight="1">
      <c r="A5" s="97">
        <v>3</v>
      </c>
      <c r="B5" s="91" t="s">
        <v>121</v>
      </c>
      <c r="C5" s="159" t="s">
        <v>287</v>
      </c>
      <c r="D5" s="184" t="s">
        <v>288</v>
      </c>
      <c r="E5" s="185"/>
      <c r="F5" s="185"/>
      <c r="G5" s="185"/>
      <c r="H5" s="185"/>
      <c r="I5" s="185"/>
      <c r="J5" s="185"/>
      <c r="K5" s="185"/>
      <c r="L5" s="185"/>
    </row>
    <row r="6" spans="1:12" ht="32.25" customHeight="1">
      <c r="A6" s="177" t="s">
        <v>328</v>
      </c>
      <c r="B6" s="178"/>
      <c r="C6" s="178"/>
      <c r="D6" s="178"/>
      <c r="E6" s="178"/>
      <c r="F6" s="178"/>
      <c r="G6" s="178"/>
      <c r="H6" s="178"/>
      <c r="I6" s="178"/>
      <c r="J6" s="178"/>
      <c r="K6" s="178"/>
      <c r="L6" s="179"/>
    </row>
    <row r="7" spans="1:12" ht="150.75" customHeight="1">
      <c r="A7" s="209">
        <v>3</v>
      </c>
      <c r="B7" s="211" t="s">
        <v>121</v>
      </c>
      <c r="C7" s="212" t="s">
        <v>384</v>
      </c>
      <c r="D7" s="175" t="s">
        <v>381</v>
      </c>
      <c r="E7" s="176"/>
      <c r="F7" s="176"/>
      <c r="G7" s="176"/>
      <c r="H7" s="176"/>
      <c r="I7" s="176"/>
      <c r="J7" s="176"/>
      <c r="K7" s="176"/>
      <c r="L7" s="176"/>
    </row>
    <row r="8" spans="1:12" ht="150.75" customHeight="1">
      <c r="A8" s="210"/>
      <c r="B8" s="182"/>
      <c r="C8" s="182"/>
      <c r="D8" s="175" t="s">
        <v>385</v>
      </c>
      <c r="E8" s="176"/>
      <c r="F8" s="176"/>
      <c r="G8" s="176"/>
      <c r="H8" s="176"/>
      <c r="I8" s="176"/>
      <c r="J8" s="176"/>
      <c r="K8" s="176"/>
      <c r="L8" s="176"/>
    </row>
  </sheetData>
  <mergeCells count="11">
    <mergeCell ref="D8:L8"/>
    <mergeCell ref="A7:A8"/>
    <mergeCell ref="B7:B8"/>
    <mergeCell ref="C7:C8"/>
    <mergeCell ref="D7:L7"/>
    <mergeCell ref="A6:L6"/>
    <mergeCell ref="D1:L1"/>
    <mergeCell ref="D2:L2"/>
    <mergeCell ref="D3:L3"/>
    <mergeCell ref="D4:L4"/>
    <mergeCell ref="D5:L5"/>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62"/>
  <sheetViews>
    <sheetView zoomScaleSheetLayoutView="100" workbookViewId="0">
      <pane ySplit="1" topLeftCell="A2" activePane="bottomLeft" state="frozen"/>
      <selection pane="bottomLeft" activeCell="A15" sqref="A15"/>
    </sheetView>
  </sheetViews>
  <sheetFormatPr defaultColWidth="10" defaultRowHeight="13.5" customHeight="1"/>
  <cols>
    <col min="1" max="1" width="3.75" customWidth="1"/>
    <col min="2" max="2" width="11.625" style="2" customWidth="1"/>
    <col min="3" max="3" width="5.375" style="93" customWidth="1"/>
    <col min="4" max="4" width="6.75" customWidth="1"/>
    <col min="5" max="5" width="10.5" style="28" customWidth="1"/>
    <col min="6" max="6" width="9.75" customWidth="1"/>
    <col min="7" max="7" width="12.75" style="26" customWidth="1"/>
    <col min="8" max="8" width="13.5" customWidth="1"/>
    <col min="9" max="9" width="4" customWidth="1"/>
    <col min="10" max="10" width="12.125" style="27" customWidth="1"/>
    <col min="12" max="12" width="10.875" style="28" customWidth="1"/>
    <col min="13" max="13" width="6.125" customWidth="1"/>
    <col min="14" max="15" width="8.125" style="29" customWidth="1"/>
    <col min="16" max="16" width="9.375" customWidth="1"/>
    <col min="17" max="17" width="10.25" style="31" customWidth="1"/>
    <col min="18" max="18" width="11.625" hidden="1" customWidth="1"/>
  </cols>
  <sheetData>
    <row r="1" spans="1:18" ht="14.25" thickBot="1">
      <c r="A1" s="17" t="s">
        <v>68</v>
      </c>
      <c r="B1" s="18" t="s">
        <v>69</v>
      </c>
      <c r="C1" s="169"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s="3" customFormat="1">
      <c r="A2" s="95">
        <v>1</v>
      </c>
      <c r="B2" s="167" t="s">
        <v>329</v>
      </c>
      <c r="C2" s="170" t="s">
        <v>86</v>
      </c>
      <c r="D2" s="171">
        <v>0.3</v>
      </c>
      <c r="E2" s="165"/>
      <c r="F2" s="39"/>
      <c r="G2" s="172" t="s">
        <v>334</v>
      </c>
      <c r="H2" s="171">
        <v>1.0075099999999999</v>
      </c>
      <c r="I2" s="39"/>
      <c r="J2" s="150" t="s">
        <v>337</v>
      </c>
      <c r="K2" s="171">
        <v>1.00654</v>
      </c>
      <c r="L2" s="165"/>
      <c r="M2" s="168" t="s">
        <v>342</v>
      </c>
      <c r="N2" s="174">
        <v>9.6999999999999993</v>
      </c>
      <c r="O2" s="166"/>
      <c r="P2" s="171">
        <v>2489</v>
      </c>
      <c r="Q2" s="94">
        <v>502489</v>
      </c>
    </row>
    <row r="3" spans="1:18">
      <c r="A3">
        <v>2</v>
      </c>
      <c r="B3" s="2" t="s">
        <v>85</v>
      </c>
      <c r="C3" s="93" t="s">
        <v>320</v>
      </c>
      <c r="D3">
        <v>0.5</v>
      </c>
      <c r="G3" s="26" t="s">
        <v>333</v>
      </c>
      <c r="H3">
        <v>0.73334999999999995</v>
      </c>
      <c r="J3" s="150" t="s">
        <v>338</v>
      </c>
      <c r="K3">
        <v>0.73336999999999997</v>
      </c>
      <c r="M3" s="164" t="s">
        <v>343</v>
      </c>
      <c r="O3" s="30">
        <v>-0.2</v>
      </c>
      <c r="P3">
        <v>-174</v>
      </c>
      <c r="Q3" s="163">
        <f t="shared" ref="Q3:Q14" si="0">Q2+P3</f>
        <v>502315</v>
      </c>
      <c r="R3" s="96"/>
    </row>
    <row r="4" spans="1:18">
      <c r="A4">
        <v>3</v>
      </c>
      <c r="B4" s="2" t="s">
        <v>330</v>
      </c>
      <c r="C4" s="93" t="s">
        <v>332</v>
      </c>
      <c r="D4">
        <v>0.5</v>
      </c>
      <c r="G4" s="26" t="s">
        <v>335</v>
      </c>
      <c r="H4">
        <v>0.71092999999999995</v>
      </c>
      <c r="J4" s="150" t="s">
        <v>335</v>
      </c>
      <c r="K4">
        <v>0.70923000000000003</v>
      </c>
      <c r="M4" s="164" t="s">
        <v>344</v>
      </c>
      <c r="O4" s="30">
        <v>-17</v>
      </c>
      <c r="P4">
        <v>-10079</v>
      </c>
      <c r="Q4" s="163">
        <f t="shared" si="0"/>
        <v>492236</v>
      </c>
      <c r="R4" s="96"/>
    </row>
    <row r="5" spans="1:18">
      <c r="A5">
        <v>4</v>
      </c>
      <c r="B5" s="2" t="s">
        <v>331</v>
      </c>
      <c r="C5" s="93" t="s">
        <v>86</v>
      </c>
      <c r="D5">
        <v>0.3</v>
      </c>
      <c r="G5" s="26" t="s">
        <v>336</v>
      </c>
      <c r="H5">
        <v>1.07318</v>
      </c>
      <c r="J5" s="150" t="s">
        <v>336</v>
      </c>
      <c r="K5">
        <v>1.0731900000000001</v>
      </c>
      <c r="M5" s="17" t="s">
        <v>343</v>
      </c>
      <c r="O5" s="30">
        <v>-0.1</v>
      </c>
      <c r="P5">
        <v>-35</v>
      </c>
      <c r="Q5" s="163">
        <f t="shared" si="0"/>
        <v>492201</v>
      </c>
      <c r="R5" s="96"/>
    </row>
    <row r="6" spans="1:18">
      <c r="A6">
        <v>5</v>
      </c>
      <c r="B6" s="2" t="s">
        <v>346</v>
      </c>
      <c r="C6" s="93" t="s">
        <v>347</v>
      </c>
      <c r="D6">
        <v>0.5</v>
      </c>
      <c r="G6" s="26" t="s">
        <v>348</v>
      </c>
      <c r="H6">
        <v>1.4095599999999999</v>
      </c>
      <c r="J6" s="150" t="s">
        <v>349</v>
      </c>
      <c r="K6">
        <v>1.41107</v>
      </c>
      <c r="M6" s="173" t="s">
        <v>344</v>
      </c>
      <c r="O6" s="30">
        <v>-15.1</v>
      </c>
      <c r="P6">
        <v>-6322</v>
      </c>
      <c r="Q6" s="163">
        <f t="shared" si="0"/>
        <v>485879</v>
      </c>
      <c r="R6" s="96"/>
    </row>
    <row r="7" spans="1:18">
      <c r="J7" s="150"/>
      <c r="M7" s="173"/>
      <c r="O7" s="30"/>
      <c r="Q7" s="163"/>
      <c r="R7" s="96"/>
    </row>
    <row r="8" spans="1:18">
      <c r="A8">
        <v>6</v>
      </c>
      <c r="B8" s="2" t="s">
        <v>356</v>
      </c>
      <c r="C8" s="93" t="s">
        <v>86</v>
      </c>
      <c r="D8">
        <v>0.5</v>
      </c>
      <c r="G8" s="26" t="s">
        <v>357</v>
      </c>
      <c r="H8">
        <v>0.65646000000000004</v>
      </c>
      <c r="J8" s="150" t="s">
        <v>359</v>
      </c>
      <c r="K8">
        <v>0.65644999999999998</v>
      </c>
      <c r="M8" s="173" t="s">
        <v>343</v>
      </c>
      <c r="N8" s="29">
        <v>0.1</v>
      </c>
      <c r="O8" s="30"/>
      <c r="P8">
        <v>59</v>
      </c>
      <c r="Q8" s="163">
        <f>Q6+P8</f>
        <v>485938</v>
      </c>
      <c r="R8" s="96"/>
    </row>
    <row r="9" spans="1:18">
      <c r="A9">
        <v>7</v>
      </c>
      <c r="B9" s="2" t="s">
        <v>356</v>
      </c>
      <c r="C9" s="93" t="s">
        <v>86</v>
      </c>
      <c r="D9">
        <v>0.35</v>
      </c>
      <c r="G9" s="26" t="s">
        <v>358</v>
      </c>
      <c r="H9">
        <v>0.65510999999999997</v>
      </c>
      <c r="J9" s="150" t="s">
        <v>360</v>
      </c>
      <c r="K9">
        <v>0.65510000000000002</v>
      </c>
      <c r="M9" s="173" t="s">
        <v>343</v>
      </c>
      <c r="N9" s="29">
        <v>1</v>
      </c>
      <c r="O9" s="30"/>
      <c r="P9">
        <v>42</v>
      </c>
      <c r="Q9" s="163">
        <f t="shared" si="0"/>
        <v>485980</v>
      </c>
      <c r="R9" s="96"/>
    </row>
    <row r="10" spans="1:18">
      <c r="A10">
        <v>8</v>
      </c>
      <c r="B10" s="2" t="s">
        <v>363</v>
      </c>
      <c r="C10" s="93" t="s">
        <v>86</v>
      </c>
      <c r="D10">
        <v>0.11</v>
      </c>
      <c r="G10" s="26" t="s">
        <v>367</v>
      </c>
      <c r="H10">
        <v>1.54928</v>
      </c>
      <c r="J10" s="150" t="s">
        <v>372</v>
      </c>
      <c r="K10">
        <v>1.5575300000000001</v>
      </c>
      <c r="M10" s="173" t="s">
        <v>344</v>
      </c>
      <c r="O10" s="30">
        <v>-82.5</v>
      </c>
      <c r="P10">
        <v>-7439</v>
      </c>
      <c r="Q10" s="163">
        <f t="shared" si="0"/>
        <v>478541</v>
      </c>
      <c r="R10" s="96"/>
    </row>
    <row r="11" spans="1:18">
      <c r="A11">
        <v>9</v>
      </c>
      <c r="B11" s="2" t="s">
        <v>363</v>
      </c>
      <c r="C11" s="93" t="s">
        <v>86</v>
      </c>
      <c r="D11">
        <v>0.11</v>
      </c>
      <c r="G11" s="26" t="s">
        <v>368</v>
      </c>
      <c r="H11">
        <v>1.5511299999999999</v>
      </c>
      <c r="J11" s="150" t="s">
        <v>373</v>
      </c>
      <c r="K11">
        <v>1.55115</v>
      </c>
      <c r="M11" s="173" t="s">
        <v>343</v>
      </c>
      <c r="O11" s="30">
        <v>-0.2</v>
      </c>
      <c r="P11">
        <v>-18</v>
      </c>
      <c r="Q11" s="163">
        <f t="shared" si="0"/>
        <v>478523</v>
      </c>
      <c r="R11" s="96"/>
    </row>
    <row r="12" spans="1:18">
      <c r="A12">
        <v>10</v>
      </c>
      <c r="B12" s="2" t="s">
        <v>364</v>
      </c>
      <c r="C12" s="93" t="s">
        <v>86</v>
      </c>
      <c r="D12">
        <v>0.2</v>
      </c>
      <c r="G12" s="26" t="s">
        <v>369</v>
      </c>
      <c r="H12">
        <v>1.0047299999999999</v>
      </c>
      <c r="J12" s="150" t="s">
        <v>376</v>
      </c>
      <c r="K12">
        <v>1.00613</v>
      </c>
      <c r="M12" s="173" t="s">
        <v>344</v>
      </c>
      <c r="O12" s="30">
        <v>-14</v>
      </c>
      <c r="P12">
        <v>-3279</v>
      </c>
      <c r="Q12" s="163">
        <f t="shared" si="0"/>
        <v>475244</v>
      </c>
      <c r="R12" s="96"/>
    </row>
    <row r="13" spans="1:18">
      <c r="A13">
        <v>11</v>
      </c>
      <c r="B13" s="2" t="s">
        <v>364</v>
      </c>
      <c r="C13" s="93" t="s">
        <v>86</v>
      </c>
      <c r="D13">
        <v>0.1</v>
      </c>
      <c r="G13" s="26" t="s">
        <v>370</v>
      </c>
      <c r="H13">
        <v>1.00614</v>
      </c>
      <c r="J13" s="150" t="s">
        <v>374</v>
      </c>
      <c r="K13">
        <v>1.0080499999999999</v>
      </c>
      <c r="M13" s="173" t="s">
        <v>344</v>
      </c>
      <c r="O13" s="30">
        <v>-19.100000000000001</v>
      </c>
      <c r="P13">
        <v>-2232</v>
      </c>
      <c r="Q13" s="163">
        <f t="shared" si="0"/>
        <v>473012</v>
      </c>
      <c r="R13" s="96"/>
    </row>
    <row r="14" spans="1:18">
      <c r="A14">
        <v>12</v>
      </c>
      <c r="B14" s="2" t="s">
        <v>365</v>
      </c>
      <c r="C14" s="93" t="s">
        <v>366</v>
      </c>
      <c r="D14">
        <v>0.5</v>
      </c>
      <c r="G14" s="26" t="s">
        <v>371</v>
      </c>
      <c r="H14">
        <v>170.28899999999999</v>
      </c>
      <c r="J14" s="150" t="s">
        <v>375</v>
      </c>
      <c r="K14">
        <v>169.93299999999999</v>
      </c>
      <c r="M14" s="173" t="s">
        <v>344</v>
      </c>
      <c r="O14" s="30">
        <v>-35.6</v>
      </c>
      <c r="P14">
        <v>-17800</v>
      </c>
      <c r="Q14" s="163">
        <f t="shared" si="0"/>
        <v>455212</v>
      </c>
      <c r="R14" s="96"/>
    </row>
    <row r="15" spans="1:18">
      <c r="J15" s="150"/>
      <c r="O15" s="30"/>
      <c r="R15" s="96"/>
    </row>
    <row r="16" spans="1:18">
      <c r="J16" s="150"/>
      <c r="O16" s="30"/>
      <c r="R16" s="96"/>
    </row>
    <row r="17" spans="10:18">
      <c r="J17" s="150"/>
      <c r="O17" s="30"/>
      <c r="R17" s="96"/>
    </row>
    <row r="18" spans="10:18">
      <c r="J18" s="150"/>
      <c r="O18" s="30"/>
      <c r="R18" s="96"/>
    </row>
    <row r="19" spans="10:18">
      <c r="J19" s="150"/>
      <c r="O19" s="30"/>
      <c r="R19" s="96"/>
    </row>
    <row r="20" spans="10:18">
      <c r="J20" s="150"/>
      <c r="O20" s="30"/>
      <c r="R20" s="96"/>
    </row>
    <row r="21" spans="10:18">
      <c r="J21" s="150"/>
      <c r="O21" s="30"/>
      <c r="R21" s="96"/>
    </row>
    <row r="22" spans="10:18">
      <c r="J22" s="150"/>
      <c r="O22" s="30"/>
      <c r="R22" s="96"/>
    </row>
    <row r="23" spans="10:18">
      <c r="J23" s="150"/>
      <c r="O23" s="30"/>
      <c r="R23" s="96"/>
    </row>
    <row r="24" spans="10:18">
      <c r="J24" s="150"/>
      <c r="O24" s="30"/>
      <c r="R24" s="96"/>
    </row>
    <row r="25" spans="10:18">
      <c r="J25" s="150"/>
      <c r="O25" s="30"/>
      <c r="R25" s="96"/>
    </row>
    <row r="26" spans="10:18">
      <c r="J26" s="150"/>
      <c r="O26" s="30"/>
      <c r="R26" s="96"/>
    </row>
    <row r="27" spans="10:18">
      <c r="J27" s="150"/>
      <c r="O27" s="30"/>
      <c r="R27" s="96"/>
    </row>
    <row r="28" spans="10:18">
      <c r="J28" s="150"/>
      <c r="O28" s="30"/>
      <c r="R28" s="96"/>
    </row>
    <row r="29" spans="10:18">
      <c r="J29" s="150"/>
      <c r="O29" s="30"/>
      <c r="R29" s="96"/>
    </row>
    <row r="30" spans="10:18">
      <c r="J30" s="150"/>
      <c r="O30" s="30"/>
      <c r="R30" s="96"/>
    </row>
    <row r="31" spans="10:18">
      <c r="N31" s="30"/>
      <c r="O31" s="30"/>
    </row>
    <row r="32" spans="10:18" ht="13.5" customHeight="1" thickBot="1"/>
    <row r="33" spans="4:16" ht="13.5" customHeight="1" thickBot="1">
      <c r="D33" s="192" t="s">
        <v>88</v>
      </c>
      <c r="E33" s="193"/>
      <c r="F33" s="194"/>
      <c r="G33" s="195"/>
      <c r="H33" s="33"/>
      <c r="I33" s="33"/>
      <c r="J33" s="34"/>
      <c r="L33" s="188" t="s">
        <v>89</v>
      </c>
      <c r="M33" s="189"/>
      <c r="N33" s="35" t="s">
        <v>90</v>
      </c>
      <c r="O33" s="36" t="s">
        <v>91</v>
      </c>
    </row>
    <row r="34" spans="4:16">
      <c r="D34" s="37" t="s">
        <v>92</v>
      </c>
      <c r="E34" s="38"/>
      <c r="F34" s="190"/>
      <c r="G34" s="191"/>
      <c r="H34" s="39"/>
      <c r="I34" s="39"/>
      <c r="J34" s="40"/>
      <c r="L34" s="41"/>
      <c r="M34" s="42"/>
      <c r="N34" s="43"/>
      <c r="O34" s="44"/>
      <c r="P34" s="31"/>
    </row>
    <row r="35" spans="4:16">
      <c r="D35" s="45" t="s">
        <v>93</v>
      </c>
      <c r="E35" s="46"/>
      <c r="F35" s="190"/>
      <c r="G35" s="191"/>
      <c r="H35" s="39"/>
      <c r="I35" s="39"/>
      <c r="J35" s="32"/>
      <c r="L35" s="47"/>
      <c r="M35" s="48"/>
      <c r="N35" s="49"/>
      <c r="O35" s="50"/>
    </row>
    <row r="36" spans="4:16">
      <c r="D36" s="45" t="s">
        <v>94</v>
      </c>
      <c r="E36" s="46"/>
      <c r="F36" s="190"/>
      <c r="G36" s="191"/>
      <c r="H36" s="39"/>
      <c r="I36" s="39"/>
      <c r="J36" s="40"/>
      <c r="L36" s="47"/>
      <c r="M36" s="48"/>
      <c r="N36" s="49"/>
      <c r="O36" s="51"/>
    </row>
    <row r="37" spans="4:16">
      <c r="D37" s="45" t="s">
        <v>95</v>
      </c>
      <c r="E37" s="46"/>
      <c r="F37" s="190"/>
      <c r="G37" s="191"/>
      <c r="H37" s="39"/>
      <c r="I37" s="39"/>
      <c r="J37" s="40"/>
      <c r="L37" s="47"/>
      <c r="M37" s="48"/>
      <c r="N37" s="49"/>
      <c r="O37" s="51"/>
    </row>
    <row r="38" spans="4:16">
      <c r="D38" s="45" t="s">
        <v>96</v>
      </c>
      <c r="E38" s="46"/>
      <c r="F38" s="190"/>
      <c r="G38" s="191"/>
      <c r="H38" s="39"/>
      <c r="I38" s="39"/>
      <c r="J38" s="40"/>
      <c r="L38" s="47"/>
      <c r="M38" s="48"/>
      <c r="N38" s="49"/>
      <c r="O38" s="51"/>
    </row>
    <row r="39" spans="4:16">
      <c r="D39" s="45" t="s">
        <v>97</v>
      </c>
      <c r="E39" s="52"/>
      <c r="F39" s="190"/>
      <c r="G39" s="191"/>
      <c r="H39" s="39"/>
      <c r="I39" s="39"/>
      <c r="J39" s="40"/>
      <c r="L39" s="47"/>
      <c r="M39" s="48"/>
      <c r="N39" s="49"/>
      <c r="O39" s="51"/>
    </row>
    <row r="40" spans="4:16">
      <c r="D40" s="45" t="s">
        <v>98</v>
      </c>
      <c r="E40" s="46"/>
      <c r="F40" s="190"/>
      <c r="G40" s="191"/>
      <c r="H40" s="39"/>
      <c r="I40" s="39"/>
      <c r="J40" s="40"/>
      <c r="L40" s="47"/>
      <c r="M40" s="48"/>
      <c r="N40" s="49"/>
      <c r="O40" s="51"/>
    </row>
    <row r="41" spans="4:16">
      <c r="D41" s="53" t="s">
        <v>99</v>
      </c>
      <c r="E41" s="54"/>
      <c r="F41" s="196"/>
      <c r="G41" s="197"/>
      <c r="H41" s="39"/>
      <c r="I41" s="39"/>
      <c r="J41" s="40"/>
      <c r="L41" s="47"/>
      <c r="M41" s="48"/>
      <c r="N41" s="49"/>
      <c r="O41" s="51"/>
    </row>
    <row r="42" spans="4:16">
      <c r="D42" s="45" t="s">
        <v>100</v>
      </c>
      <c r="E42" s="46"/>
      <c r="F42" s="190"/>
      <c r="G42" s="191"/>
      <c r="H42" s="39"/>
      <c r="I42" s="39"/>
      <c r="J42" s="40"/>
      <c r="L42" s="47"/>
      <c r="M42" s="48"/>
      <c r="N42" s="49"/>
      <c r="O42" s="51"/>
    </row>
    <row r="43" spans="4:16">
      <c r="D43" s="45" t="s">
        <v>101</v>
      </c>
      <c r="E43" s="52"/>
      <c r="F43" s="190"/>
      <c r="G43" s="191"/>
      <c r="H43" s="39"/>
      <c r="I43" s="39"/>
      <c r="J43" s="40"/>
      <c r="L43" s="47"/>
      <c r="M43" s="48"/>
      <c r="N43" s="49"/>
      <c r="O43" s="51"/>
    </row>
    <row r="44" spans="4:16">
      <c r="D44" s="45" t="s">
        <v>102</v>
      </c>
      <c r="E44" s="46"/>
      <c r="F44" s="190"/>
      <c r="G44" s="191"/>
      <c r="H44" s="39"/>
      <c r="I44" s="39"/>
      <c r="J44" s="40"/>
      <c r="L44" s="41"/>
      <c r="M44" s="42"/>
      <c r="N44" s="43"/>
      <c r="O44" s="55"/>
    </row>
    <row r="45" spans="4:16">
      <c r="D45" s="45" t="s">
        <v>103</v>
      </c>
      <c r="E45" s="56"/>
      <c r="F45" s="190"/>
      <c r="G45" s="191"/>
      <c r="H45" s="39"/>
      <c r="I45" s="39"/>
      <c r="J45" s="40"/>
      <c r="L45" s="47"/>
      <c r="M45" s="48"/>
      <c r="N45" s="49"/>
      <c r="O45" s="51"/>
    </row>
    <row r="46" spans="4:16">
      <c r="D46" s="45" t="s">
        <v>104</v>
      </c>
      <c r="E46" s="56"/>
      <c r="F46" s="190"/>
      <c r="G46" s="191"/>
      <c r="H46" s="39"/>
      <c r="I46" s="39"/>
      <c r="J46" s="40"/>
      <c r="L46" s="47"/>
      <c r="M46" s="48"/>
      <c r="N46" s="49"/>
      <c r="O46" s="51"/>
    </row>
    <row r="47" spans="4:16">
      <c r="D47" s="45" t="s">
        <v>105</v>
      </c>
      <c r="E47" s="46"/>
      <c r="F47" s="190"/>
      <c r="G47" s="191"/>
      <c r="H47" s="39"/>
      <c r="I47" s="39"/>
      <c r="J47" s="40"/>
      <c r="L47" s="47"/>
      <c r="M47" s="48"/>
      <c r="N47" s="49"/>
      <c r="O47" s="51"/>
    </row>
    <row r="48" spans="4:16">
      <c r="D48" s="45" t="s">
        <v>106</v>
      </c>
      <c r="E48" s="46"/>
      <c r="F48" s="190"/>
      <c r="G48" s="191"/>
      <c r="H48" s="39"/>
      <c r="I48" s="39"/>
      <c r="J48" s="40"/>
      <c r="L48" s="47"/>
      <c r="M48" s="48"/>
      <c r="N48" s="49"/>
      <c r="O48" s="51"/>
    </row>
    <row r="49" spans="4:15">
      <c r="D49" s="45" t="s">
        <v>107</v>
      </c>
      <c r="E49" s="57"/>
      <c r="F49" s="190"/>
      <c r="G49" s="191"/>
      <c r="H49" s="39"/>
      <c r="I49" s="39"/>
      <c r="J49" s="40"/>
      <c r="L49" s="47"/>
      <c r="M49" s="48"/>
      <c r="N49" s="49"/>
      <c r="O49" s="51"/>
    </row>
    <row r="50" spans="4:15" ht="14.25" thickBot="1">
      <c r="D50" s="58" t="s">
        <v>108</v>
      </c>
      <c r="E50" s="59"/>
      <c r="F50" s="186"/>
      <c r="G50" s="187"/>
      <c r="H50" s="39"/>
      <c r="I50" s="39"/>
      <c r="J50" s="40"/>
      <c r="L50" s="47"/>
      <c r="M50" s="48"/>
      <c r="N50" s="49"/>
      <c r="O50" s="51"/>
    </row>
    <row r="51" spans="4:15">
      <c r="G51" s="60"/>
      <c r="H51" s="39"/>
      <c r="I51" s="39"/>
      <c r="J51" s="40"/>
      <c r="L51" s="47"/>
      <c r="M51" s="48"/>
      <c r="N51" s="49"/>
      <c r="O51" s="51"/>
    </row>
    <row r="52" spans="4:15" ht="14.25" thickBot="1">
      <c r="G52" s="60"/>
      <c r="H52" s="39"/>
      <c r="I52" s="39"/>
      <c r="J52" s="40"/>
      <c r="L52" s="61"/>
      <c r="M52" s="62"/>
      <c r="N52" s="63"/>
      <c r="O52" s="64"/>
    </row>
    <row r="53" spans="4:15" ht="14.25" thickBot="1">
      <c r="G53" s="60"/>
      <c r="H53" s="39"/>
      <c r="I53" s="39"/>
      <c r="J53" s="40"/>
      <c r="L53" s="65" t="s">
        <v>87</v>
      </c>
      <c r="M53" s="66">
        <f>SUM(M34:M52)</f>
        <v>0</v>
      </c>
      <c r="N53" s="67">
        <f>SUM(N34:N52)</f>
        <v>0</v>
      </c>
      <c r="O53" s="68">
        <f>SUM(O34:O52)</f>
        <v>0</v>
      </c>
    </row>
    <row r="55" spans="4:15" ht="13.5" customHeight="1" thickBot="1"/>
    <row r="56" spans="4:15" ht="13.5" customHeight="1" thickBot="1">
      <c r="G56" s="188" t="s">
        <v>109</v>
      </c>
      <c r="H56" s="189"/>
      <c r="I56" s="69" t="s">
        <v>90</v>
      </c>
      <c r="J56" s="70" t="s">
        <v>91</v>
      </c>
      <c r="K56" s="71" t="s">
        <v>110</v>
      </c>
    </row>
    <row r="57" spans="4:15">
      <c r="G57" s="72" t="s">
        <v>111</v>
      </c>
      <c r="H57" s="42">
        <v>0</v>
      </c>
      <c r="I57" s="73">
        <v>0</v>
      </c>
      <c r="J57" s="74">
        <v>0</v>
      </c>
      <c r="K57" s="75">
        <v>0</v>
      </c>
    </row>
    <row r="58" spans="4:15">
      <c r="G58" s="76" t="s">
        <v>112</v>
      </c>
      <c r="H58" s="48">
        <v>0</v>
      </c>
      <c r="I58" s="48">
        <v>0</v>
      </c>
      <c r="J58" s="77">
        <v>0</v>
      </c>
      <c r="K58" s="78">
        <v>0</v>
      </c>
    </row>
    <row r="59" spans="4:15">
      <c r="G59" s="76" t="s">
        <v>113</v>
      </c>
      <c r="H59" s="48">
        <v>0</v>
      </c>
      <c r="I59" s="48">
        <v>0</v>
      </c>
      <c r="J59" s="77">
        <v>0</v>
      </c>
      <c r="K59" s="78">
        <v>0</v>
      </c>
    </row>
    <row r="60" spans="4:15">
      <c r="G60" s="76" t="s">
        <v>114</v>
      </c>
      <c r="H60" s="48">
        <v>0</v>
      </c>
      <c r="I60" s="48">
        <v>0</v>
      </c>
      <c r="J60" s="77">
        <v>0</v>
      </c>
      <c r="K60" s="78">
        <v>0</v>
      </c>
    </row>
    <row r="61" spans="4:15" ht="14.25" thickBot="1">
      <c r="G61" s="79" t="s">
        <v>115</v>
      </c>
      <c r="H61" s="80">
        <v>0</v>
      </c>
      <c r="I61" s="80">
        <v>0</v>
      </c>
      <c r="J61" s="81">
        <v>0</v>
      </c>
      <c r="K61" s="82">
        <v>0</v>
      </c>
    </row>
    <row r="62" spans="4:15" ht="14.25" thickBot="1">
      <c r="G62" s="83" t="s">
        <v>87</v>
      </c>
      <c r="H62" s="84"/>
      <c r="I62" s="84"/>
      <c r="J62" s="77"/>
      <c r="K62" s="85">
        <f>SUM(K57:K61)</f>
        <v>0</v>
      </c>
    </row>
  </sheetData>
  <autoFilter ref="A1:Q30"/>
  <mergeCells count="20">
    <mergeCell ref="F43:G43"/>
    <mergeCell ref="D33:G33"/>
    <mergeCell ref="L33:M33"/>
    <mergeCell ref="F34:G34"/>
    <mergeCell ref="F35:G35"/>
    <mergeCell ref="F36:G36"/>
    <mergeCell ref="F37:G37"/>
    <mergeCell ref="F38:G38"/>
    <mergeCell ref="F39:G39"/>
    <mergeCell ref="F40:G40"/>
    <mergeCell ref="F41:G41"/>
    <mergeCell ref="F42:G42"/>
    <mergeCell ref="F50:G50"/>
    <mergeCell ref="G56:H56"/>
    <mergeCell ref="F44:G44"/>
    <mergeCell ref="F45:G45"/>
    <mergeCell ref="F46:G46"/>
    <mergeCell ref="F47:G47"/>
    <mergeCell ref="F48:G48"/>
    <mergeCell ref="F49:G49"/>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H90" sqref="H9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A20"/>
  <sheetViews>
    <sheetView zoomScale="115" zoomScaleSheetLayoutView="100" workbookViewId="0">
      <selection activeCell="A19" sqref="A19"/>
    </sheetView>
  </sheetViews>
  <sheetFormatPr defaultColWidth="8.875" defaultRowHeight="13.5"/>
  <cols>
    <col min="1" max="1" width="142.75" style="2" customWidth="1"/>
  </cols>
  <sheetData>
    <row r="1" spans="1:1">
      <c r="A1" s="12" t="s">
        <v>378</v>
      </c>
    </row>
    <row r="2" spans="1:1">
      <c r="A2" s="2" t="s">
        <v>339</v>
      </c>
    </row>
    <row r="3" spans="1:1">
      <c r="A3" s="2" t="s">
        <v>340</v>
      </c>
    </row>
    <row r="4" spans="1:1">
      <c r="A4" s="2" t="s">
        <v>341</v>
      </c>
    </row>
    <row r="5" spans="1:1">
      <c r="A5" s="2" t="s">
        <v>345</v>
      </c>
    </row>
    <row r="6" spans="1:1">
      <c r="A6" s="2" t="s">
        <v>350</v>
      </c>
    </row>
    <row r="8" spans="1:1">
      <c r="A8" s="2" t="s">
        <v>351</v>
      </c>
    </row>
    <row r="9" spans="1:1">
      <c r="A9" s="2" t="s">
        <v>352</v>
      </c>
    </row>
    <row r="10" spans="1:1">
      <c r="A10" s="2" t="s">
        <v>353</v>
      </c>
    </row>
    <row r="11" spans="1:1">
      <c r="A11" s="2" t="s">
        <v>354</v>
      </c>
    </row>
    <row r="12" spans="1:1">
      <c r="A12" s="2" t="s">
        <v>355</v>
      </c>
    </row>
    <row r="14" spans="1:1">
      <c r="A14" s="12" t="s">
        <v>361</v>
      </c>
    </row>
    <row r="15" spans="1:1">
      <c r="A15" s="12" t="s">
        <v>379</v>
      </c>
    </row>
    <row r="16" spans="1:1">
      <c r="A16" s="12" t="s">
        <v>380</v>
      </c>
    </row>
    <row r="17" spans="1:1" ht="27">
      <c r="A17" s="6" t="s">
        <v>362</v>
      </c>
    </row>
    <row r="18" spans="1:1">
      <c r="A18" s="2" t="s">
        <v>382</v>
      </c>
    </row>
    <row r="19" spans="1:1">
      <c r="A19" s="2" t="s">
        <v>383</v>
      </c>
    </row>
    <row r="20" spans="1:1">
      <c r="A20" s="2" t="s">
        <v>377</v>
      </c>
    </row>
  </sheetData>
  <phoneticPr fontId="2"/>
  <pageMargins left="0.75" right="0.75" top="1" bottom="1" header="0.51111111111111107" footer="0.51111111111111107"/>
  <pageSetup paperSize="9" firstPageNumber="4294963191"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5">
    <tabColor rgb="FF00FF00"/>
  </sheetPr>
  <dimension ref="A1:D16"/>
  <sheetViews>
    <sheetView workbookViewId="0">
      <selection activeCell="D8" sqref="D8"/>
    </sheetView>
  </sheetViews>
  <sheetFormatPr defaultRowHeight="13.5"/>
  <cols>
    <col min="1" max="4" width="35.625" style="101" customWidth="1"/>
  </cols>
  <sheetData>
    <row r="1" spans="1:4" ht="83.25" customHeight="1">
      <c r="A1" s="198" t="s">
        <v>142</v>
      </c>
      <c r="B1" s="199"/>
      <c r="C1" s="199"/>
      <c r="D1" s="199"/>
    </row>
    <row r="2" spans="1:4" s="99" customFormat="1" ht="21.75" customHeight="1" thickBot="1">
      <c r="A2" s="103" t="s">
        <v>135</v>
      </c>
      <c r="B2" s="103" t="s">
        <v>136</v>
      </c>
      <c r="C2" s="103" t="s">
        <v>137</v>
      </c>
      <c r="D2" s="103" t="s">
        <v>138</v>
      </c>
    </row>
    <row r="3" spans="1:4" s="99" customFormat="1" ht="27.75" thickTop="1">
      <c r="A3" s="158" t="s">
        <v>294</v>
      </c>
      <c r="B3" s="102" t="s">
        <v>129</v>
      </c>
      <c r="C3" s="162" t="s">
        <v>295</v>
      </c>
      <c r="D3" s="102" t="s">
        <v>130</v>
      </c>
    </row>
    <row r="4" spans="1:4" s="99" customFormat="1" ht="40.5">
      <c r="A4" s="98" t="s">
        <v>139</v>
      </c>
      <c r="B4" s="108" t="s">
        <v>267</v>
      </c>
      <c r="C4" s="104" t="s">
        <v>141</v>
      </c>
      <c r="D4" s="151" t="s">
        <v>228</v>
      </c>
    </row>
    <row r="5" spans="1:4" s="99" customFormat="1" ht="40.5">
      <c r="A5" s="105" t="s">
        <v>149</v>
      </c>
      <c r="B5" s="98" t="s">
        <v>140</v>
      </c>
      <c r="C5" s="154" t="s">
        <v>292</v>
      </c>
      <c r="D5" s="154" t="s">
        <v>284</v>
      </c>
    </row>
    <row r="6" spans="1:4" s="99" customFormat="1" ht="33" customHeight="1">
      <c r="A6" s="98" t="s">
        <v>143</v>
      </c>
      <c r="B6" s="161" t="s">
        <v>311</v>
      </c>
      <c r="C6" s="98"/>
      <c r="D6" s="108" t="s">
        <v>286</v>
      </c>
    </row>
    <row r="7" spans="1:4" s="99" customFormat="1" ht="40.5">
      <c r="A7" s="154" t="s">
        <v>150</v>
      </c>
      <c r="B7" s="98" t="s">
        <v>134</v>
      </c>
      <c r="C7" s="98"/>
      <c r="D7" s="108" t="s">
        <v>314</v>
      </c>
    </row>
    <row r="8" spans="1:4" s="99" customFormat="1" ht="37.5" customHeight="1">
      <c r="A8" s="108" t="s">
        <v>154</v>
      </c>
      <c r="B8" s="154" t="s">
        <v>285</v>
      </c>
      <c r="C8" s="106"/>
      <c r="D8" s="108" t="s">
        <v>318</v>
      </c>
    </row>
    <row r="9" spans="1:4" s="99" customFormat="1" ht="37.5" customHeight="1">
      <c r="A9" s="154" t="s">
        <v>233</v>
      </c>
      <c r="B9" s="154" t="s">
        <v>242</v>
      </c>
      <c r="C9" s="153"/>
      <c r="D9" s="153"/>
    </row>
    <row r="10" spans="1:4" s="99" customFormat="1">
      <c r="A10" s="100"/>
      <c r="B10" s="100"/>
      <c r="C10" s="100"/>
      <c r="D10" s="100"/>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topLeftCell="A8" zoomScale="90" zoomScaleNormal="90" workbookViewId="0">
      <selection activeCell="C4" sqref="C4:D4"/>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49" customWidth="1"/>
    <col min="29" max="29" width="3.375" customWidth="1"/>
    <col min="30" max="30" width="10.875" customWidth="1"/>
  </cols>
  <sheetData>
    <row r="1" spans="1:30" ht="17.25">
      <c r="A1" s="143" t="s">
        <v>223</v>
      </c>
    </row>
    <row r="2" spans="1:30">
      <c r="A2" s="205" t="s">
        <v>220</v>
      </c>
      <c r="B2" s="205"/>
      <c r="C2" s="206">
        <v>500000</v>
      </c>
      <c r="D2" s="206"/>
    </row>
    <row r="3" spans="1:30">
      <c r="A3" s="205" t="s">
        <v>221</v>
      </c>
      <c r="B3" s="205"/>
      <c r="C3" s="207">
        <f>SUM(C2,E37)</f>
        <v>452723</v>
      </c>
      <c r="D3" s="207"/>
    </row>
    <row r="4" spans="1:30">
      <c r="A4" s="205" t="s">
        <v>222</v>
      </c>
      <c r="B4" s="205"/>
      <c r="C4" s="208" t="e">
        <f>DATEVALUE(LEFT(デモトレ履歴!#REF!,4)&amp;"/"&amp;MID(デモトレ履歴!#REF!,6,2)&amp;"/"&amp;MID(デモトレ履歴!#REF!,9,2))</f>
        <v>#REF!</v>
      </c>
      <c r="D4" s="208"/>
    </row>
    <row r="6" spans="1:30" ht="17.25">
      <c r="A6" s="110" t="s">
        <v>159</v>
      </c>
      <c r="B6" s="111"/>
      <c r="C6" s="111"/>
      <c r="D6" s="111"/>
      <c r="E6" s="111"/>
      <c r="F6" s="111"/>
      <c r="G6" s="111"/>
      <c r="H6" s="111"/>
      <c r="I6" s="111"/>
      <c r="J6" s="111"/>
      <c r="K6" s="111"/>
      <c r="L6" s="111"/>
      <c r="M6" s="111"/>
      <c r="N6" s="111"/>
      <c r="AD6" s="111"/>
    </row>
    <row r="7" spans="1:30">
      <c r="A7" s="111"/>
      <c r="B7" s="111"/>
      <c r="C7" s="111"/>
      <c r="D7" s="111"/>
      <c r="E7" s="111"/>
      <c r="F7" s="111"/>
      <c r="G7" s="111"/>
      <c r="H7" s="111"/>
      <c r="I7" s="111"/>
      <c r="J7" s="111"/>
      <c r="K7" s="111"/>
      <c r="L7" s="111"/>
      <c r="M7" s="111"/>
      <c r="N7" s="111"/>
      <c r="AD7" s="111"/>
    </row>
    <row r="8" spans="1:30" ht="36">
      <c r="A8" s="112" t="s">
        <v>160</v>
      </c>
      <c r="B8" s="113" t="s">
        <v>161</v>
      </c>
      <c r="C8" s="113" t="s">
        <v>162</v>
      </c>
      <c r="D8" s="114" t="s">
        <v>189</v>
      </c>
      <c r="E8" s="113" t="s">
        <v>163</v>
      </c>
      <c r="F8" s="114" t="s">
        <v>207</v>
      </c>
      <c r="G8" s="113" t="s">
        <v>164</v>
      </c>
      <c r="H8" s="113" t="s">
        <v>165</v>
      </c>
      <c r="I8" s="113" t="s">
        <v>166</v>
      </c>
      <c r="J8" s="113" t="s">
        <v>167</v>
      </c>
      <c r="K8" s="113" t="s">
        <v>168</v>
      </c>
      <c r="L8" s="113" t="s">
        <v>169</v>
      </c>
      <c r="M8" s="114" t="s">
        <v>170</v>
      </c>
      <c r="N8" s="115" t="s">
        <v>171</v>
      </c>
      <c r="AD8" s="113" t="s">
        <v>208</v>
      </c>
    </row>
    <row r="9" spans="1:30">
      <c r="A9" s="116" t="s">
        <v>178</v>
      </c>
      <c r="B9" s="117">
        <f>SUMIFS(デモトレ履歴!$P$3:$P$30,デモトレ履歴!$M$3:$M$30,"win",デモトレ履歴!$B$3:$B$30,成績表!$A9&amp;"*")</f>
        <v>0</v>
      </c>
      <c r="C9" s="117">
        <f>SUMIFS(デモトレ履歴!$P$3:$P$30,デモトレ履歴!$M$3:$M$30,"loss",デモトレ履歴!$B$3:$B$30,成績表!$A9&amp;"*")</f>
        <v>0</v>
      </c>
      <c r="D9" s="117">
        <f>SUMIFS(デモトレ履歴!$P$3:$P$30,デモトレ履歴!$M$3:$M$30,"drw",デモトレ履歴!$B$3:$B$30,成績表!$A9&amp;"*")</f>
        <v>0</v>
      </c>
      <c r="E9" s="117">
        <f t="shared" ref="E9:E36" si="0">SUM(B9:D9)</f>
        <v>0</v>
      </c>
      <c r="F9" s="118">
        <f>COUNTIF(デモトレ履歴!$B$3:$B$30,成績表!$A9&amp;"*")</f>
        <v>0</v>
      </c>
      <c r="G9" s="118">
        <f>COUNTIFS(デモトレ履歴!$M$3:$M$30,"win",デモトレ履歴!$B$3:$B$30,成績表!$A9&amp;"*")</f>
        <v>0</v>
      </c>
      <c r="H9" s="118">
        <f>COUNTIFS(デモトレ履歴!$M$3:$M$30,"loss",デモトレ履歴!$B$3:$B$30,成績表!$A9&amp;"*")</f>
        <v>0</v>
      </c>
      <c r="I9" s="119">
        <f>COUNTIFS(デモトレ履歴!$M$3:$M$30,"drw",デモトレ履歴!$B$3:$B$30,成績表!$A9&amp;"*")</f>
        <v>0</v>
      </c>
      <c r="J9" s="120">
        <f>IF(G9&gt;0,G9/F9,0)</f>
        <v>0</v>
      </c>
      <c r="K9" s="121">
        <f t="shared" ref="K9:K36" si="1">IF(B9&lt;&gt;0,B9/G9,0)</f>
        <v>0</v>
      </c>
      <c r="L9" s="121">
        <f t="shared" ref="L9:L36" si="2">IF(C9&lt;&gt;0,C9/H9*-1,0)</f>
        <v>0</v>
      </c>
      <c r="M9" s="136">
        <f>IF(AND(K9&lt;&gt;0,L9&lt;&gt;0),K9/L9,0)</f>
        <v>0</v>
      </c>
      <c r="N9" s="137">
        <f t="shared" ref="N9:N36" si="3">IF(AND(B9&lt;&gt;0,C9&lt;&gt;0),B9/C9,0)</f>
        <v>0</v>
      </c>
      <c r="AD9" s="117">
        <f t="shared" ref="AD9:AD36" si="4">ABS(C9)</f>
        <v>0</v>
      </c>
    </row>
    <row r="10" spans="1:30">
      <c r="A10" s="122" t="s">
        <v>179</v>
      </c>
      <c r="B10" s="123">
        <f>SUMIFS(デモトレ履歴!$P$3:$P$30,デモトレ履歴!$M$3:$M$30,"win",デモトレ履歴!$B$3:$B$30,成績表!$A10&amp;"*")</f>
        <v>0</v>
      </c>
      <c r="C10" s="123">
        <f>SUMIFS(デモトレ履歴!$P$3:$P$30,デモトレ履歴!$M$3:$M$30,"loss",デモトレ履歴!$B$3:$B$30,成績表!$A10&amp;"*")</f>
        <v>0</v>
      </c>
      <c r="D10" s="123">
        <f>SUMIFS(デモトレ履歴!$P$3:$P$30,デモトレ履歴!$M$3:$M$30,"drw",デモトレ履歴!$B$3:$B$30,成績表!$A10&amp;"*")</f>
        <v>-35</v>
      </c>
      <c r="E10" s="123">
        <f t="shared" si="0"/>
        <v>-35</v>
      </c>
      <c r="F10" s="124">
        <f>COUNTIF(デモトレ履歴!$B$3:$B$30,成績表!$A10&amp;"*")</f>
        <v>1</v>
      </c>
      <c r="G10" s="124">
        <f>COUNTIFS(デモトレ履歴!$M$3:$M$30,"win",デモトレ履歴!$B$3:$B$30,成績表!$A10&amp;"*")</f>
        <v>0</v>
      </c>
      <c r="H10" s="124">
        <f>COUNTIFS(デモトレ履歴!$M$3:$M$30,"loss",デモトレ履歴!$B$3:$B$30,成績表!$A10&amp;"*")</f>
        <v>0</v>
      </c>
      <c r="I10" s="124">
        <f>COUNTIFS(デモトレ履歴!$M$3:$M$30,"drw",デモトレ履歴!$B$3:$B$30,成績表!$A10&amp;"*")</f>
        <v>1</v>
      </c>
      <c r="J10" s="125">
        <f t="shared" ref="J10:J36" si="5">IF(G10&gt;0,G10/F10,0)</f>
        <v>0</v>
      </c>
      <c r="K10" s="123">
        <f t="shared" si="1"/>
        <v>0</v>
      </c>
      <c r="L10" s="123">
        <f t="shared" si="2"/>
        <v>0</v>
      </c>
      <c r="M10" s="138">
        <f t="shared" ref="M10:M35" si="6">IF(AND(K10&lt;&gt;0,L10&lt;&gt;0),K10/L10,0)</f>
        <v>0</v>
      </c>
      <c r="N10" s="139">
        <f t="shared" si="3"/>
        <v>0</v>
      </c>
      <c r="AD10" s="123">
        <f t="shared" si="4"/>
        <v>0</v>
      </c>
    </row>
    <row r="11" spans="1:30">
      <c r="A11" s="122" t="s">
        <v>180</v>
      </c>
      <c r="B11" s="123">
        <f>SUMIFS(デモトレ履歴!$P$3:$P$30,デモトレ履歴!$M$3:$M$30,"win",デモトレ履歴!$B$3:$B$30,成績表!$A11&amp;"*")</f>
        <v>0</v>
      </c>
      <c r="C11" s="123">
        <f>SUMIFS(デモトレ履歴!$P$3:$P$30,デモトレ履歴!$M$3:$M$30,"loss",デモトレ履歴!$B$3:$B$30,成績表!$A11&amp;"*")</f>
        <v>0</v>
      </c>
      <c r="D11" s="123">
        <f>SUMIFS(デモトレ履歴!$P$3:$P$30,デモトレ履歴!$M$3:$M$30,"drw",デモトレ履歴!$B$3:$B$30,成績表!$A11&amp;"*")</f>
        <v>0</v>
      </c>
      <c r="E11" s="123">
        <f t="shared" si="0"/>
        <v>0</v>
      </c>
      <c r="F11" s="124">
        <f>COUNTIF(デモトレ履歴!$B$3:$B$30,成績表!$A11&amp;"*")</f>
        <v>0</v>
      </c>
      <c r="G11" s="124">
        <f>COUNTIFS(デモトレ履歴!$M$3:$M$30,"win",デモトレ履歴!$B$3:$B$30,成績表!$A11&amp;"*")</f>
        <v>0</v>
      </c>
      <c r="H11" s="124">
        <f>COUNTIFS(デモトレ履歴!$M$3:$M$30,"loss",デモトレ履歴!$B$3:$B$30,成績表!$A11&amp;"*")</f>
        <v>0</v>
      </c>
      <c r="I11" s="124">
        <f>COUNTIFS(デモトレ履歴!$M$3:$M$30,"drw",デモトレ履歴!$B$3:$B$30,成績表!$A11&amp;"*")</f>
        <v>0</v>
      </c>
      <c r="J11" s="125">
        <f t="shared" si="5"/>
        <v>0</v>
      </c>
      <c r="K11" s="123">
        <f t="shared" si="1"/>
        <v>0</v>
      </c>
      <c r="L11" s="123">
        <f t="shared" si="2"/>
        <v>0</v>
      </c>
      <c r="M11" s="138">
        <f t="shared" si="6"/>
        <v>0</v>
      </c>
      <c r="N11" s="139">
        <f t="shared" si="3"/>
        <v>0</v>
      </c>
      <c r="AD11" s="123">
        <f t="shared" si="4"/>
        <v>0</v>
      </c>
    </row>
    <row r="12" spans="1:30">
      <c r="A12" s="122" t="s">
        <v>181</v>
      </c>
      <c r="B12" s="123">
        <f>SUMIFS(デモトレ履歴!$P$3:$P$30,デモトレ履歴!$M$3:$M$30,"win",デモトレ履歴!$B$3:$B$30,成績表!$A12&amp;"*")</f>
        <v>0</v>
      </c>
      <c r="C12" s="123">
        <f>SUMIFS(デモトレ履歴!$P$3:$P$30,デモトレ履歴!$M$3:$M$30,"loss",デモトレ履歴!$B$3:$B$30,成績表!$A12&amp;"*")</f>
        <v>0</v>
      </c>
      <c r="D12" s="123">
        <f>SUMIFS(デモトレ履歴!$P$3:$P$30,デモトレ履歴!$M$3:$M$30,"drw",デモトレ履歴!$B$3:$B$30,成績表!$A12&amp;"*")</f>
        <v>0</v>
      </c>
      <c r="E12" s="123">
        <f t="shared" si="0"/>
        <v>0</v>
      </c>
      <c r="F12" s="124">
        <f>COUNTIF(デモトレ履歴!$B$3:$B$30,成績表!$A12&amp;"*")</f>
        <v>0</v>
      </c>
      <c r="G12" s="124">
        <f>COUNTIFS(デモトレ履歴!$M$3:$M$30,"win",デモトレ履歴!$B$3:$B$30,成績表!$A12&amp;"*")</f>
        <v>0</v>
      </c>
      <c r="H12" s="124">
        <f>COUNTIFS(デモトレ履歴!$M$3:$M$30,"loss",デモトレ履歴!$B$3:$B$30,成績表!$A12&amp;"*")</f>
        <v>0</v>
      </c>
      <c r="I12" s="124">
        <f>COUNTIFS(デモトレ履歴!$M$3:$M$30,"drw",デモトレ履歴!$B$3:$B$30,成績表!$A12&amp;"*")</f>
        <v>0</v>
      </c>
      <c r="J12" s="125">
        <f t="shared" si="5"/>
        <v>0</v>
      </c>
      <c r="K12" s="123">
        <f t="shared" si="1"/>
        <v>0</v>
      </c>
      <c r="L12" s="123">
        <f t="shared" si="2"/>
        <v>0</v>
      </c>
      <c r="M12" s="138">
        <f t="shared" si="6"/>
        <v>0</v>
      </c>
      <c r="N12" s="139">
        <f t="shared" si="3"/>
        <v>0</v>
      </c>
      <c r="AD12" s="123">
        <f t="shared" si="4"/>
        <v>0</v>
      </c>
    </row>
    <row r="13" spans="1:30">
      <c r="A13" s="122" t="s">
        <v>182</v>
      </c>
      <c r="B13" s="123">
        <f>SUMIFS(デモトレ履歴!$P$3:$P$30,デモトレ履歴!$M$3:$M$30,"win",デモトレ履歴!$B$3:$B$30,成績表!$A13&amp;"*")</f>
        <v>0</v>
      </c>
      <c r="C13" s="123">
        <f>SUMIFS(デモトレ履歴!$P$3:$P$30,デモトレ履歴!$M$3:$M$30,"loss",デモトレ履歴!$B$3:$B$30,成績表!$A13&amp;"*")</f>
        <v>-17800</v>
      </c>
      <c r="D13" s="123">
        <f>SUMIFS(デモトレ履歴!$P$3:$P$30,デモトレ履歴!$M$3:$M$30,"drw",デモトレ履歴!$B$3:$B$30,成績表!$A13&amp;"*")</f>
        <v>0</v>
      </c>
      <c r="E13" s="123">
        <f t="shared" si="0"/>
        <v>-17800</v>
      </c>
      <c r="F13" s="124">
        <f>COUNTIF(デモトレ履歴!$B$3:$B$30,成績表!$A13&amp;"*")</f>
        <v>1</v>
      </c>
      <c r="G13" s="124">
        <f>COUNTIFS(デモトレ履歴!$M$3:$M$30,"win",デモトレ履歴!$B$3:$B$30,成績表!$A13&amp;"*")</f>
        <v>0</v>
      </c>
      <c r="H13" s="124">
        <f>COUNTIFS(デモトレ履歴!$M$3:$M$30,"loss",デモトレ履歴!$B$3:$B$30,成績表!$A13&amp;"*")</f>
        <v>1</v>
      </c>
      <c r="I13" s="124">
        <f>COUNTIFS(デモトレ履歴!$M$3:$M$30,"drw",デモトレ履歴!$B$3:$B$30,成績表!$A13&amp;"*")</f>
        <v>0</v>
      </c>
      <c r="J13" s="125">
        <f t="shared" si="5"/>
        <v>0</v>
      </c>
      <c r="K13" s="123">
        <f t="shared" si="1"/>
        <v>0</v>
      </c>
      <c r="L13" s="123">
        <f t="shared" si="2"/>
        <v>17800</v>
      </c>
      <c r="M13" s="138">
        <f t="shared" si="6"/>
        <v>0</v>
      </c>
      <c r="N13" s="139">
        <f t="shared" si="3"/>
        <v>0</v>
      </c>
      <c r="AD13" s="123">
        <f t="shared" si="4"/>
        <v>17800</v>
      </c>
    </row>
    <row r="14" spans="1:30">
      <c r="A14" s="122" t="s">
        <v>183</v>
      </c>
      <c r="B14" s="123">
        <f>SUMIFS(デモトレ履歴!$P$3:$P$30,デモトレ履歴!$M$3:$M$30,"win",デモトレ履歴!$B$3:$B$30,成績表!$A14&amp;"*")</f>
        <v>0</v>
      </c>
      <c r="C14" s="123">
        <f>SUMIFS(デモトレ履歴!$P$3:$P$30,デモトレ履歴!$M$3:$M$30,"loss",デモトレ履歴!$B$3:$B$30,成績表!$A14&amp;"*")</f>
        <v>-6322</v>
      </c>
      <c r="D14" s="123">
        <f>SUMIFS(デモトレ履歴!$P$3:$P$30,デモトレ履歴!$M$3:$M$30,"drw",デモトレ履歴!$B$3:$B$30,成績表!$A14&amp;"*")</f>
        <v>0</v>
      </c>
      <c r="E14" s="123">
        <f t="shared" si="0"/>
        <v>-6322</v>
      </c>
      <c r="F14" s="124">
        <f>COUNTIF(デモトレ履歴!$B$3:$B$30,成績表!$A14&amp;"*")</f>
        <v>1</v>
      </c>
      <c r="G14" s="124">
        <f>COUNTIFS(デモトレ履歴!$M$3:$M$30,"win",デモトレ履歴!$B$3:$B$30,成績表!$A14&amp;"*")</f>
        <v>0</v>
      </c>
      <c r="H14" s="124">
        <f>COUNTIFS(デモトレ履歴!$M$3:$M$30,"loss",デモトレ履歴!$B$3:$B$30,成績表!$A14&amp;"*")</f>
        <v>1</v>
      </c>
      <c r="I14" s="124">
        <f>COUNTIFS(デモトレ履歴!$M$3:$M$30,"drw",デモトレ履歴!$B$3:$B$30,成績表!$A14&amp;"*")</f>
        <v>0</v>
      </c>
      <c r="J14" s="125">
        <f t="shared" si="5"/>
        <v>0</v>
      </c>
      <c r="K14" s="123">
        <f t="shared" si="1"/>
        <v>0</v>
      </c>
      <c r="L14" s="123">
        <f t="shared" si="2"/>
        <v>6322</v>
      </c>
      <c r="M14" s="138">
        <f t="shared" si="6"/>
        <v>0</v>
      </c>
      <c r="N14" s="139">
        <f t="shared" si="3"/>
        <v>0</v>
      </c>
      <c r="AD14" s="123">
        <f t="shared" si="4"/>
        <v>6322</v>
      </c>
    </row>
    <row r="15" spans="1:30">
      <c r="A15" s="122" t="s">
        <v>184</v>
      </c>
      <c r="B15" s="123">
        <f>SUMIFS(デモトレ履歴!$P$3:$P$30,デモトレ履歴!$M$3:$M$30,"win",デモトレ履歴!$B$3:$B$30,成績表!$A15&amp;"*")</f>
        <v>0</v>
      </c>
      <c r="C15" s="123">
        <f>SUMIFS(デモトレ履歴!$P$3:$P$30,デモトレ履歴!$M$3:$M$30,"loss",デモトレ履歴!$B$3:$B$30,成績表!$A15&amp;"*")</f>
        <v>-5511</v>
      </c>
      <c r="D15" s="123">
        <f>SUMIFS(デモトレ履歴!$P$3:$P$30,デモトレ履歴!$M$3:$M$30,"drw",デモトレ履歴!$B$3:$B$30,成績表!$A15&amp;"*")</f>
        <v>0</v>
      </c>
      <c r="E15" s="123">
        <f t="shared" si="0"/>
        <v>-5511</v>
      </c>
      <c r="F15" s="124">
        <f>COUNTIF(デモトレ履歴!$B$3:$B$30,成績表!$A15&amp;"*")</f>
        <v>2</v>
      </c>
      <c r="G15" s="124">
        <f>COUNTIFS(デモトレ履歴!$M$3:$M$30,"win",デモトレ履歴!$B$3:$B$30,成績表!$A15&amp;"*")</f>
        <v>0</v>
      </c>
      <c r="H15" s="124">
        <f>COUNTIFS(デモトレ履歴!$M$3:$M$30,"loss",デモトレ履歴!$B$3:$B$30,成績表!$A15&amp;"*")</f>
        <v>2</v>
      </c>
      <c r="I15" s="124">
        <f>COUNTIFS(デモトレ履歴!$M$3:$M$30,"drw",デモトレ履歴!$B$3:$B$30,成績表!$A15&amp;"*")</f>
        <v>0</v>
      </c>
      <c r="J15" s="125">
        <f t="shared" si="5"/>
        <v>0</v>
      </c>
      <c r="K15" s="123">
        <f t="shared" si="1"/>
        <v>0</v>
      </c>
      <c r="L15" s="123">
        <f t="shared" si="2"/>
        <v>2755.5</v>
      </c>
      <c r="M15" s="138">
        <f t="shared" si="6"/>
        <v>0</v>
      </c>
      <c r="N15" s="139">
        <f t="shared" si="3"/>
        <v>0</v>
      </c>
      <c r="AD15" s="123">
        <f t="shared" si="4"/>
        <v>5511</v>
      </c>
    </row>
    <row r="16" spans="1:30">
      <c r="A16" s="122" t="s">
        <v>185</v>
      </c>
      <c r="B16" s="123">
        <f>SUMIFS(デモトレ履歴!$P$3:$P$30,デモトレ履歴!$M$3:$M$30,"win",デモトレ履歴!$B$3:$B$30,成績表!$A16&amp;"*")</f>
        <v>0</v>
      </c>
      <c r="C16" s="123">
        <f>SUMIFS(デモトレ履歴!$P$3:$P$30,デモトレ履歴!$M$3:$M$30,"loss",デモトレ履歴!$B$3:$B$30,成績表!$A16&amp;"*")</f>
        <v>0</v>
      </c>
      <c r="D16" s="123">
        <f>SUMIFS(デモトレ履歴!$P$3:$P$30,デモトレ履歴!$M$3:$M$30,"drw",デモトレ履歴!$B$3:$B$30,成績表!$A16&amp;"*")</f>
        <v>0</v>
      </c>
      <c r="E16" s="123">
        <f t="shared" si="0"/>
        <v>0</v>
      </c>
      <c r="F16" s="124">
        <f>COUNTIF(デモトレ履歴!$B$3:$B$30,成績表!$A16&amp;"*")</f>
        <v>0</v>
      </c>
      <c r="G16" s="124">
        <f>COUNTIFS(デモトレ履歴!$M$3:$M$30,"win",デモトレ履歴!$B$3:$B$30,成績表!$A16&amp;"*")</f>
        <v>0</v>
      </c>
      <c r="H16" s="124">
        <f>COUNTIFS(デモトレ履歴!$M$3:$M$30,"loss",デモトレ履歴!$B$3:$B$30,成績表!$A16&amp;"*")</f>
        <v>0</v>
      </c>
      <c r="I16" s="124">
        <f>COUNTIFS(デモトレ履歴!$M$3:$M$30,"drw",デモトレ履歴!$B$3:$B$30,成績表!$A16&amp;"*")</f>
        <v>0</v>
      </c>
      <c r="J16" s="125">
        <f t="shared" si="5"/>
        <v>0</v>
      </c>
      <c r="K16" s="123">
        <f t="shared" si="1"/>
        <v>0</v>
      </c>
      <c r="L16" s="123">
        <f t="shared" si="2"/>
        <v>0</v>
      </c>
      <c r="M16" s="138">
        <f t="shared" si="6"/>
        <v>0</v>
      </c>
      <c r="N16" s="139">
        <f t="shared" si="3"/>
        <v>0</v>
      </c>
      <c r="AD16" s="123">
        <f t="shared" si="4"/>
        <v>0</v>
      </c>
    </row>
    <row r="17" spans="1:30">
      <c r="A17" s="122" t="s">
        <v>186</v>
      </c>
      <c r="B17" s="123">
        <f>SUMIFS(デモトレ履歴!$P$3:$P$30,デモトレ履歴!$M$3:$M$30,"win",デモトレ履歴!$B$3:$B$30,成績表!$A17&amp;"*")</f>
        <v>0</v>
      </c>
      <c r="C17" s="123">
        <f>SUMIFS(デモトレ履歴!$P$3:$P$30,デモトレ履歴!$M$3:$M$30,"loss",デモトレ履歴!$B$3:$B$30,成績表!$A17&amp;"*")</f>
        <v>-10079</v>
      </c>
      <c r="D17" s="123">
        <f>SUMIFS(デモトレ履歴!$P$3:$P$30,デモトレ履歴!$M$3:$M$30,"drw",デモトレ履歴!$B$3:$B$30,成績表!$A17&amp;"*")</f>
        <v>0</v>
      </c>
      <c r="E17" s="123">
        <f t="shared" si="0"/>
        <v>-10079</v>
      </c>
      <c r="F17" s="124">
        <f>COUNTIF(デモトレ履歴!$B$3:$B$30,成績表!$A17&amp;"*")</f>
        <v>1</v>
      </c>
      <c r="G17" s="124">
        <f>COUNTIFS(デモトレ履歴!$M$3:$M$30,"win",デモトレ履歴!$B$3:$B$30,成績表!$A17&amp;"*")</f>
        <v>0</v>
      </c>
      <c r="H17" s="124">
        <f>COUNTIFS(デモトレ履歴!$M$3:$M$30,"loss",デモトレ履歴!$B$3:$B$30,成績表!$A17&amp;"*")</f>
        <v>1</v>
      </c>
      <c r="I17" s="124">
        <f>COUNTIFS(デモトレ履歴!$M$3:$M$30,"drw",デモトレ履歴!$B$3:$B$30,成績表!$A17&amp;"*")</f>
        <v>0</v>
      </c>
      <c r="J17" s="125">
        <f t="shared" si="5"/>
        <v>0</v>
      </c>
      <c r="K17" s="123">
        <f t="shared" si="1"/>
        <v>0</v>
      </c>
      <c r="L17" s="123">
        <f t="shared" si="2"/>
        <v>10079</v>
      </c>
      <c r="M17" s="138">
        <f t="shared" si="6"/>
        <v>0</v>
      </c>
      <c r="N17" s="139">
        <f t="shared" si="3"/>
        <v>0</v>
      </c>
      <c r="AD17" s="123">
        <f t="shared" si="4"/>
        <v>10079</v>
      </c>
    </row>
    <row r="18" spans="1:30">
      <c r="A18" s="122" t="s">
        <v>190</v>
      </c>
      <c r="B18" s="123">
        <f>SUMIFS(デモトレ履歴!$P$3:$P$30,デモトレ履歴!$M$3:$M$30,"win",デモトレ履歴!$B$3:$B$30,成績表!$A18&amp;"*")</f>
        <v>0</v>
      </c>
      <c r="C18" s="123">
        <f>SUMIFS(デモトレ履歴!$P$3:$P$30,デモトレ履歴!$M$3:$M$30,"loss",デモトレ履歴!$B$3:$B$30,成績表!$A18&amp;"*")</f>
        <v>0</v>
      </c>
      <c r="D18" s="123">
        <f>SUMIFS(デモトレ履歴!$P$3:$P$30,デモトレ履歴!$M$3:$M$30,"drw",デモトレ履歴!$B$3:$B$30,成績表!$A18&amp;"*")</f>
        <v>0</v>
      </c>
      <c r="E18" s="123">
        <f t="shared" si="0"/>
        <v>0</v>
      </c>
      <c r="F18" s="124">
        <f>COUNTIF(デモトレ履歴!$B$3:$B$30,成績表!$A18&amp;"*")</f>
        <v>0</v>
      </c>
      <c r="G18" s="124">
        <f>COUNTIFS(デモトレ履歴!$M$3:$M$30,"win",デモトレ履歴!$B$3:$B$30,成績表!$A18&amp;"*")</f>
        <v>0</v>
      </c>
      <c r="H18" s="124">
        <f>COUNTIFS(デモトレ履歴!$M$3:$M$30,"loss",デモトレ履歴!$B$3:$B$30,成績表!$A18&amp;"*")</f>
        <v>0</v>
      </c>
      <c r="I18" s="124">
        <f>COUNTIFS(デモトレ履歴!$M$3:$M$30,"drw",デモトレ履歴!$B$3:$B$30,成績表!$A18&amp;"*")</f>
        <v>0</v>
      </c>
      <c r="J18" s="125">
        <f t="shared" si="5"/>
        <v>0</v>
      </c>
      <c r="K18" s="123">
        <f t="shared" si="1"/>
        <v>0</v>
      </c>
      <c r="L18" s="123">
        <f t="shared" si="2"/>
        <v>0</v>
      </c>
      <c r="M18" s="138">
        <f t="shared" si="6"/>
        <v>0</v>
      </c>
      <c r="N18" s="139">
        <f t="shared" si="3"/>
        <v>0</v>
      </c>
      <c r="AD18" s="123">
        <f t="shared" si="4"/>
        <v>0</v>
      </c>
    </row>
    <row r="19" spans="1:30">
      <c r="A19" s="122" t="s">
        <v>177</v>
      </c>
      <c r="B19" s="123">
        <f>SUMIFS(デモトレ履歴!$P$3:$P$30,デモトレ履歴!$M$3:$M$30,"win",デモトレ履歴!$B$3:$B$30,成績表!$A19&amp;"*")</f>
        <v>0</v>
      </c>
      <c r="C19" s="123">
        <f>SUMIFS(デモトレ履歴!$P$3:$P$30,デモトレ履歴!$M$3:$M$30,"loss",デモトレ履歴!$B$3:$B$30,成績表!$A19&amp;"*")</f>
        <v>0</v>
      </c>
      <c r="D19" s="123">
        <f>SUMIFS(デモトレ履歴!$P$3:$P$30,デモトレ履歴!$M$3:$M$30,"drw",デモトレ履歴!$B$3:$B$30,成績表!$A19&amp;"*")</f>
        <v>-174</v>
      </c>
      <c r="E19" s="123">
        <f t="shared" si="0"/>
        <v>-174</v>
      </c>
      <c r="F19" s="124">
        <f>COUNTIF(デモトレ履歴!$B$3:$B$30,成績表!$A19&amp;"*")</f>
        <v>1</v>
      </c>
      <c r="G19" s="124">
        <f>COUNTIFS(デモトレ履歴!$M$3:$M$30,"win",デモトレ履歴!$B$3:$B$30,成績表!$A19&amp;"*")</f>
        <v>0</v>
      </c>
      <c r="H19" s="124">
        <f>COUNTIFS(デモトレ履歴!$M$3:$M$30,"loss",デモトレ履歴!$B$3:$B$30,成績表!$A19&amp;"*")</f>
        <v>0</v>
      </c>
      <c r="I19" s="124">
        <f>COUNTIFS(デモトレ履歴!$M$3:$M$30,"drw",デモトレ履歴!$B$3:$B$30,成績表!$A19&amp;"*")</f>
        <v>1</v>
      </c>
      <c r="J19" s="125">
        <f t="shared" si="5"/>
        <v>0</v>
      </c>
      <c r="K19" s="123">
        <f t="shared" si="1"/>
        <v>0</v>
      </c>
      <c r="L19" s="123">
        <f t="shared" si="2"/>
        <v>0</v>
      </c>
      <c r="M19" s="138">
        <f t="shared" si="6"/>
        <v>0</v>
      </c>
      <c r="N19" s="139">
        <f t="shared" si="3"/>
        <v>0</v>
      </c>
      <c r="AD19" s="123">
        <f t="shared" si="4"/>
        <v>0</v>
      </c>
    </row>
    <row r="20" spans="1:30">
      <c r="A20" s="122" t="s">
        <v>187</v>
      </c>
      <c r="B20" s="123">
        <f>SUMIFS(デモトレ履歴!$P$3:$P$30,デモトレ履歴!$M$3:$M$30,"win",デモトレ履歴!$B$3:$B$30,成績表!$A20&amp;"*")</f>
        <v>0</v>
      </c>
      <c r="C20" s="123">
        <f>SUMIFS(デモトレ履歴!$P$3:$P$30,デモトレ履歴!$M$3:$M$30,"loss",デモトレ履歴!$B$3:$B$30,成績表!$A20&amp;"*")</f>
        <v>0</v>
      </c>
      <c r="D20" s="123">
        <f>SUMIFS(デモトレ履歴!$P$3:$P$30,デモトレ履歴!$M$3:$M$30,"drw",デモトレ履歴!$B$3:$B$30,成績表!$A20&amp;"*")</f>
        <v>0</v>
      </c>
      <c r="E20" s="123">
        <f t="shared" si="0"/>
        <v>0</v>
      </c>
      <c r="F20" s="124">
        <f>COUNTIF(デモトレ履歴!$B$3:$B$30,成績表!$A20&amp;"*")</f>
        <v>0</v>
      </c>
      <c r="G20" s="124">
        <f>COUNTIFS(デモトレ履歴!$M$3:$M$30,"win",デモトレ履歴!$B$3:$B$30,成績表!$A20&amp;"*")</f>
        <v>0</v>
      </c>
      <c r="H20" s="124">
        <f>COUNTIFS(デモトレ履歴!$M$3:$M$30,"loss",デモトレ履歴!$B$3:$B$30,成績表!$A20&amp;"*")</f>
        <v>0</v>
      </c>
      <c r="I20" s="124">
        <f>COUNTIFS(デモトレ履歴!$M$3:$M$30,"drw",デモトレ履歴!$B$3:$B$30,成績表!$A20&amp;"*")</f>
        <v>0</v>
      </c>
      <c r="J20" s="125">
        <f t="shared" si="5"/>
        <v>0</v>
      </c>
      <c r="K20" s="123">
        <f t="shared" si="1"/>
        <v>0</v>
      </c>
      <c r="L20" s="123">
        <f t="shared" si="2"/>
        <v>0</v>
      </c>
      <c r="M20" s="138">
        <f t="shared" si="6"/>
        <v>0</v>
      </c>
      <c r="N20" s="139">
        <f t="shared" si="3"/>
        <v>0</v>
      </c>
      <c r="AD20" s="123">
        <f t="shared" si="4"/>
        <v>0</v>
      </c>
    </row>
    <row r="21" spans="1:30">
      <c r="A21" s="122" t="s">
        <v>191</v>
      </c>
      <c r="B21" s="123">
        <f>SUMIFS(デモトレ履歴!$P$3:$P$30,デモトレ履歴!$M$3:$M$30,"win",デモトレ履歴!$B$3:$B$30,成績表!$A21&amp;"*")</f>
        <v>0</v>
      </c>
      <c r="C21" s="123">
        <f>SUMIFS(デモトレ履歴!$P$3:$P$30,デモトレ履歴!$M$3:$M$30,"loss",デモトレ履歴!$B$3:$B$30,成績表!$A21&amp;"*")</f>
        <v>0</v>
      </c>
      <c r="D21" s="123">
        <f>SUMIFS(デモトレ履歴!$P$3:$P$30,デモトレ履歴!$M$3:$M$30,"drw",デモトレ履歴!$B$3:$B$30,成績表!$A21&amp;"*")</f>
        <v>0</v>
      </c>
      <c r="E21" s="123">
        <f t="shared" si="0"/>
        <v>0</v>
      </c>
      <c r="F21" s="124">
        <f>COUNTIF(デモトレ履歴!$B$3:$B$30,成績表!$A21&amp;"*")</f>
        <v>0</v>
      </c>
      <c r="G21" s="124">
        <f>COUNTIFS(デモトレ履歴!$M$3:$M$30,"win",デモトレ履歴!$B$3:$B$30,成績表!$A21&amp;"*")</f>
        <v>0</v>
      </c>
      <c r="H21" s="124">
        <f>COUNTIFS(デモトレ履歴!$M$3:$M$30,"loss",デモトレ履歴!$B$3:$B$30,成績表!$A21&amp;"*")</f>
        <v>0</v>
      </c>
      <c r="I21" s="124">
        <f>COUNTIFS(デモトレ履歴!$M$3:$M$30,"drw",デモトレ履歴!$B$3:$B$30,成績表!$A21&amp;"*")</f>
        <v>0</v>
      </c>
      <c r="J21" s="125">
        <f t="shared" si="5"/>
        <v>0</v>
      </c>
      <c r="K21" s="123">
        <f t="shared" si="1"/>
        <v>0</v>
      </c>
      <c r="L21" s="123">
        <f t="shared" si="2"/>
        <v>0</v>
      </c>
      <c r="M21" s="138">
        <f t="shared" si="6"/>
        <v>0</v>
      </c>
      <c r="N21" s="139">
        <f t="shared" si="3"/>
        <v>0</v>
      </c>
      <c r="AD21" s="123">
        <f t="shared" si="4"/>
        <v>0</v>
      </c>
    </row>
    <row r="22" spans="1:30">
      <c r="A22" s="122" t="s">
        <v>192</v>
      </c>
      <c r="B22" s="123">
        <f>SUMIFS(デモトレ履歴!$P$3:$P$30,デモトレ履歴!$M$3:$M$30,"win",デモトレ履歴!$B$3:$B$30,成績表!$A22&amp;"*")</f>
        <v>0</v>
      </c>
      <c r="C22" s="123">
        <f>SUMIFS(デモトレ履歴!$P$3:$P$30,デモトレ履歴!$M$3:$M$30,"loss",デモトレ履歴!$B$3:$B$30,成績表!$A22&amp;"*")</f>
        <v>-7439</v>
      </c>
      <c r="D22" s="123">
        <f>SUMIFS(デモトレ履歴!$P$3:$P$30,デモトレ履歴!$M$3:$M$30,"drw",デモトレ履歴!$B$3:$B$30,成績表!$A22&amp;"*")</f>
        <v>-18</v>
      </c>
      <c r="E22" s="123">
        <f t="shared" si="0"/>
        <v>-7457</v>
      </c>
      <c r="F22" s="124">
        <f>COUNTIF(デモトレ履歴!$B$3:$B$30,成績表!$A22&amp;"*")</f>
        <v>2</v>
      </c>
      <c r="G22" s="124">
        <f>COUNTIFS(デモトレ履歴!$M$3:$M$30,"win",デモトレ履歴!$B$3:$B$30,成績表!$A22&amp;"*")</f>
        <v>0</v>
      </c>
      <c r="H22" s="124">
        <f>COUNTIFS(デモトレ履歴!$M$3:$M$30,"loss",デモトレ履歴!$B$3:$B$30,成績表!$A22&amp;"*")</f>
        <v>1</v>
      </c>
      <c r="I22" s="124">
        <f>COUNTIFS(デモトレ履歴!$M$3:$M$30,"drw",デモトレ履歴!$B$3:$B$30,成績表!$A22&amp;"*")</f>
        <v>1</v>
      </c>
      <c r="J22" s="125">
        <f t="shared" si="5"/>
        <v>0</v>
      </c>
      <c r="K22" s="123">
        <f t="shared" si="1"/>
        <v>0</v>
      </c>
      <c r="L22" s="123">
        <f t="shared" si="2"/>
        <v>7439</v>
      </c>
      <c r="M22" s="138">
        <f t="shared" si="6"/>
        <v>0</v>
      </c>
      <c r="N22" s="139">
        <f t="shared" si="3"/>
        <v>0</v>
      </c>
      <c r="AD22" s="123">
        <f t="shared" si="4"/>
        <v>7439</v>
      </c>
    </row>
    <row r="23" spans="1:30">
      <c r="A23" s="122" t="s">
        <v>193</v>
      </c>
      <c r="B23" s="123">
        <f>SUMIFS(デモトレ履歴!$P$3:$P$30,デモトレ履歴!$M$3:$M$30,"win",デモトレ履歴!$B$3:$B$30,成績表!$A23&amp;"*")</f>
        <v>0</v>
      </c>
      <c r="C23" s="123">
        <f>SUMIFS(デモトレ履歴!$P$3:$P$30,デモトレ履歴!$M$3:$M$30,"loss",デモトレ履歴!$B$3:$B$30,成績表!$A23&amp;"*")</f>
        <v>0</v>
      </c>
      <c r="D23" s="123">
        <f>SUMIFS(デモトレ履歴!$P$3:$P$30,デモトレ履歴!$M$3:$M$30,"drw",デモトレ履歴!$B$3:$B$30,成績表!$A23&amp;"*")</f>
        <v>0</v>
      </c>
      <c r="E23" s="123">
        <f t="shared" si="0"/>
        <v>0</v>
      </c>
      <c r="F23" s="124">
        <f>COUNTIF(デモトレ履歴!$B$3:$B$30,成績表!$A23&amp;"*")</f>
        <v>0</v>
      </c>
      <c r="G23" s="124">
        <f>COUNTIFS(デモトレ履歴!$M$3:$M$30,"win",デモトレ履歴!$B$3:$B$30,成績表!$A23&amp;"*")</f>
        <v>0</v>
      </c>
      <c r="H23" s="124">
        <f>COUNTIFS(デモトレ履歴!$M$3:$M$30,"loss",デモトレ履歴!$B$3:$B$30,成績表!$A23&amp;"*")</f>
        <v>0</v>
      </c>
      <c r="I23" s="124">
        <f>COUNTIFS(デモトレ履歴!$M$3:$M$30,"drw",デモトレ履歴!$B$3:$B$30,成績表!$A23&amp;"*")</f>
        <v>0</v>
      </c>
      <c r="J23" s="125">
        <f t="shared" si="5"/>
        <v>0</v>
      </c>
      <c r="K23" s="123">
        <f t="shared" si="1"/>
        <v>0</v>
      </c>
      <c r="L23" s="123">
        <f t="shared" si="2"/>
        <v>0</v>
      </c>
      <c r="M23" s="138">
        <f t="shared" si="6"/>
        <v>0</v>
      </c>
      <c r="N23" s="139">
        <f t="shared" si="3"/>
        <v>0</v>
      </c>
      <c r="AD23" s="123">
        <f t="shared" si="4"/>
        <v>0</v>
      </c>
    </row>
    <row r="24" spans="1:30">
      <c r="A24" s="122" t="s">
        <v>194</v>
      </c>
      <c r="B24" s="123">
        <f>SUMIFS(デモトレ履歴!$P$3:$P$30,デモトレ履歴!$M$3:$M$30,"win",デモトレ履歴!$B$3:$B$30,成績表!$A24&amp;"*")</f>
        <v>0</v>
      </c>
      <c r="C24" s="123">
        <f>SUMIFS(デモトレ履歴!$P$3:$P$30,デモトレ履歴!$M$3:$M$30,"loss",デモトレ履歴!$B$3:$B$30,成績表!$A24&amp;"*")</f>
        <v>0</v>
      </c>
      <c r="D24" s="123">
        <f>SUMIFS(デモトレ履歴!$P$3:$P$30,デモトレ履歴!$M$3:$M$30,"drw",デモトレ履歴!$B$3:$B$30,成績表!$A24&amp;"*")</f>
        <v>0</v>
      </c>
      <c r="E24" s="123">
        <f t="shared" si="0"/>
        <v>0</v>
      </c>
      <c r="F24" s="124">
        <f>COUNTIF(デモトレ履歴!$B$3:$B$30,成績表!$A24&amp;"*")</f>
        <v>0</v>
      </c>
      <c r="G24" s="124">
        <f>COUNTIFS(デモトレ履歴!$M$3:$M$30,"win",デモトレ履歴!$B$3:$B$30,成績表!$A24&amp;"*")</f>
        <v>0</v>
      </c>
      <c r="H24" s="124">
        <f>COUNTIFS(デモトレ履歴!$M$3:$M$30,"loss",デモトレ履歴!$B$3:$B$30,成績表!$A24&amp;"*")</f>
        <v>0</v>
      </c>
      <c r="I24" s="124">
        <f>COUNTIFS(デモトレ履歴!$M$3:$M$30,"drw",デモトレ履歴!$B$3:$B$30,成績表!$A24&amp;"*")</f>
        <v>0</v>
      </c>
      <c r="J24" s="125">
        <f t="shared" si="5"/>
        <v>0</v>
      </c>
      <c r="K24" s="123">
        <f t="shared" si="1"/>
        <v>0</v>
      </c>
      <c r="L24" s="123">
        <f t="shared" si="2"/>
        <v>0</v>
      </c>
      <c r="M24" s="138">
        <f t="shared" si="6"/>
        <v>0</v>
      </c>
      <c r="N24" s="139">
        <f t="shared" si="3"/>
        <v>0</v>
      </c>
      <c r="AD24" s="123">
        <f t="shared" si="4"/>
        <v>0</v>
      </c>
    </row>
    <row r="25" spans="1:30">
      <c r="A25" s="122" t="s">
        <v>195</v>
      </c>
      <c r="B25" s="123">
        <f>SUMIFS(デモトレ履歴!$P$3:$P$30,デモトレ履歴!$M$3:$M$30,"win",デモトレ履歴!$B$3:$B$30,成績表!$A25&amp;"*")</f>
        <v>0</v>
      </c>
      <c r="C25" s="123">
        <f>SUMIFS(デモトレ履歴!$P$3:$P$30,デモトレ履歴!$M$3:$M$30,"loss",デモトレ履歴!$B$3:$B$30,成績表!$A25&amp;"*")</f>
        <v>0</v>
      </c>
      <c r="D25" s="123">
        <f>SUMIFS(デモトレ履歴!$P$3:$P$30,デモトレ履歴!$M$3:$M$30,"drw",デモトレ履歴!$B$3:$B$30,成績表!$A25&amp;"*")</f>
        <v>0</v>
      </c>
      <c r="E25" s="123">
        <f t="shared" si="0"/>
        <v>0</v>
      </c>
      <c r="F25" s="124">
        <f>COUNTIF(デモトレ履歴!$B$3:$B$30,成績表!$A25&amp;"*")</f>
        <v>0</v>
      </c>
      <c r="G25" s="124">
        <f>COUNTIFS(デモトレ履歴!$M$3:$M$30,"win",デモトレ履歴!$B$3:$B$30,成績表!$A25&amp;"*")</f>
        <v>0</v>
      </c>
      <c r="H25" s="124">
        <f>COUNTIFS(デモトレ履歴!$M$3:$M$30,"loss",デモトレ履歴!$B$3:$B$30,成績表!$A25&amp;"*")</f>
        <v>0</v>
      </c>
      <c r="I25" s="124">
        <f>COUNTIFS(デモトレ履歴!$M$3:$M$30,"drw",デモトレ履歴!$B$3:$B$30,成績表!$A25&amp;"*")</f>
        <v>0</v>
      </c>
      <c r="J25" s="125">
        <f t="shared" si="5"/>
        <v>0</v>
      </c>
      <c r="K25" s="123">
        <f t="shared" si="1"/>
        <v>0</v>
      </c>
      <c r="L25" s="123">
        <f t="shared" si="2"/>
        <v>0</v>
      </c>
      <c r="M25" s="138">
        <f t="shared" si="6"/>
        <v>0</v>
      </c>
      <c r="N25" s="139">
        <f t="shared" si="3"/>
        <v>0</v>
      </c>
      <c r="AD25" s="123">
        <f t="shared" si="4"/>
        <v>0</v>
      </c>
    </row>
    <row r="26" spans="1:30">
      <c r="A26" s="122" t="s">
        <v>196</v>
      </c>
      <c r="B26" s="123">
        <f>SUMIFS(デモトレ履歴!$P$3:$P$30,デモトレ履歴!$M$3:$M$30,"win",デモトレ履歴!$B$3:$B$30,成績表!$A26&amp;"*")</f>
        <v>0</v>
      </c>
      <c r="C26" s="123">
        <f>SUMIFS(デモトレ履歴!$P$3:$P$30,デモトレ履歴!$M$3:$M$30,"loss",デモトレ履歴!$B$3:$B$30,成績表!$A26&amp;"*")</f>
        <v>0</v>
      </c>
      <c r="D26" s="123">
        <f>SUMIFS(デモトレ履歴!$P$3:$P$30,デモトレ履歴!$M$3:$M$30,"drw",デモトレ履歴!$B$3:$B$30,成績表!$A26&amp;"*")</f>
        <v>0</v>
      </c>
      <c r="E26" s="123">
        <f t="shared" si="0"/>
        <v>0</v>
      </c>
      <c r="F26" s="124">
        <f>COUNTIF(デモトレ履歴!$B$3:$B$30,成績表!$A26&amp;"*")</f>
        <v>0</v>
      </c>
      <c r="G26" s="124">
        <f>COUNTIFS(デモトレ履歴!$M$3:$M$30,"win",デモトレ履歴!$B$3:$B$30,成績表!$A26&amp;"*")</f>
        <v>0</v>
      </c>
      <c r="H26" s="124">
        <f>COUNTIFS(デモトレ履歴!$M$3:$M$30,"loss",デモトレ履歴!$B$3:$B$30,成績表!$A26&amp;"*")</f>
        <v>0</v>
      </c>
      <c r="I26" s="124">
        <f>COUNTIFS(デモトレ履歴!$M$3:$M$30,"drw",デモトレ履歴!$B$3:$B$30,成績表!$A26&amp;"*")</f>
        <v>0</v>
      </c>
      <c r="J26" s="125">
        <f t="shared" si="5"/>
        <v>0</v>
      </c>
      <c r="K26" s="123">
        <f t="shared" si="1"/>
        <v>0</v>
      </c>
      <c r="L26" s="123">
        <f t="shared" si="2"/>
        <v>0</v>
      </c>
      <c r="M26" s="138">
        <f t="shared" si="6"/>
        <v>0</v>
      </c>
      <c r="N26" s="139">
        <f t="shared" si="3"/>
        <v>0</v>
      </c>
      <c r="AD26" s="123">
        <f t="shared" si="4"/>
        <v>0</v>
      </c>
    </row>
    <row r="27" spans="1:30">
      <c r="A27" s="122" t="s">
        <v>197</v>
      </c>
      <c r="B27" s="123">
        <f>SUMIFS(デモトレ履歴!$P$3:$P$30,デモトレ履歴!$M$3:$M$30,"win",デモトレ履歴!$B$3:$B$30,成績表!$A27&amp;"*")</f>
        <v>0</v>
      </c>
      <c r="C27" s="123">
        <f>SUMIFS(デモトレ履歴!$P$3:$P$30,デモトレ履歴!$M$3:$M$30,"loss",デモトレ履歴!$B$3:$B$30,成績表!$A27&amp;"*")</f>
        <v>0</v>
      </c>
      <c r="D27" s="123">
        <f>SUMIFS(デモトレ履歴!$P$3:$P$30,デモトレ履歴!$M$3:$M$30,"drw",デモトレ履歴!$B$3:$B$30,成績表!$A27&amp;"*")</f>
        <v>0</v>
      </c>
      <c r="E27" s="123">
        <f t="shared" si="0"/>
        <v>0</v>
      </c>
      <c r="F27" s="124">
        <f>COUNTIF(デモトレ履歴!$B$3:$B$30,成績表!$A27&amp;"*")</f>
        <v>0</v>
      </c>
      <c r="G27" s="124">
        <f>COUNTIFS(デモトレ履歴!$M$3:$M$30,"win",デモトレ履歴!$B$3:$B$30,成績表!$A27&amp;"*")</f>
        <v>0</v>
      </c>
      <c r="H27" s="124">
        <f>COUNTIFS(デモトレ履歴!$M$3:$M$30,"loss",デモトレ履歴!$B$3:$B$30,成績表!$A27&amp;"*")</f>
        <v>0</v>
      </c>
      <c r="I27" s="124">
        <f>COUNTIFS(デモトレ履歴!$M$3:$M$30,"drw",デモトレ履歴!$B$3:$B$30,成績表!$A27&amp;"*")</f>
        <v>0</v>
      </c>
      <c r="J27" s="125">
        <f t="shared" si="5"/>
        <v>0</v>
      </c>
      <c r="K27" s="123">
        <f t="shared" si="1"/>
        <v>0</v>
      </c>
      <c r="L27" s="123">
        <f t="shared" si="2"/>
        <v>0</v>
      </c>
      <c r="M27" s="138">
        <f t="shared" si="6"/>
        <v>0</v>
      </c>
      <c r="N27" s="139">
        <f t="shared" si="3"/>
        <v>0</v>
      </c>
      <c r="AD27" s="123">
        <f t="shared" si="4"/>
        <v>0</v>
      </c>
    </row>
    <row r="28" spans="1:30">
      <c r="A28" s="122" t="s">
        <v>198</v>
      </c>
      <c r="B28" s="123">
        <f>SUMIFS(デモトレ履歴!$P$3:$P$30,デモトレ履歴!$M$3:$M$30,"win",デモトレ履歴!$B$3:$B$30,成績表!$A28&amp;"*")</f>
        <v>0</v>
      </c>
      <c r="C28" s="123">
        <f>SUMIFS(デモトレ履歴!$P$3:$P$30,デモトレ履歴!$M$3:$M$30,"loss",デモトレ履歴!$B$3:$B$30,成績表!$A28&amp;"*")</f>
        <v>0</v>
      </c>
      <c r="D28" s="123">
        <f>SUMIFS(デモトレ履歴!$P$3:$P$30,デモトレ履歴!$M$3:$M$30,"drw",デモトレ履歴!$B$3:$B$30,成績表!$A28&amp;"*")</f>
        <v>0</v>
      </c>
      <c r="E28" s="123">
        <f t="shared" si="0"/>
        <v>0</v>
      </c>
      <c r="F28" s="124">
        <f>COUNTIF(デモトレ履歴!$B$3:$B$30,成績表!$A28&amp;"*")</f>
        <v>0</v>
      </c>
      <c r="G28" s="124">
        <f>COUNTIFS(デモトレ履歴!$M$3:$M$30,"win",デモトレ履歴!$B$3:$B$30,成績表!$A28&amp;"*")</f>
        <v>0</v>
      </c>
      <c r="H28" s="124">
        <f>COUNTIFS(デモトレ履歴!$M$3:$M$30,"loss",デモトレ履歴!$B$3:$B$30,成績表!$A28&amp;"*")</f>
        <v>0</v>
      </c>
      <c r="I28" s="124">
        <f>COUNTIFS(デモトレ履歴!$M$3:$M$30,"drw",デモトレ履歴!$B$3:$B$30,成績表!$A28&amp;"*")</f>
        <v>0</v>
      </c>
      <c r="J28" s="125">
        <f t="shared" si="5"/>
        <v>0</v>
      </c>
      <c r="K28" s="123">
        <f t="shared" si="1"/>
        <v>0</v>
      </c>
      <c r="L28" s="123">
        <f t="shared" si="2"/>
        <v>0</v>
      </c>
      <c r="M28" s="138">
        <f t="shared" si="6"/>
        <v>0</v>
      </c>
      <c r="N28" s="139">
        <f t="shared" si="3"/>
        <v>0</v>
      </c>
      <c r="AD28" s="123">
        <f t="shared" si="4"/>
        <v>0</v>
      </c>
    </row>
    <row r="29" spans="1:30">
      <c r="A29" s="122" t="s">
        <v>199</v>
      </c>
      <c r="B29" s="123">
        <f>SUMIFS(デモトレ履歴!$P$3:$P$30,デモトレ履歴!$M$3:$M$30,"win",デモトレ履歴!$B$3:$B$30,成績表!$A29&amp;"*")</f>
        <v>0</v>
      </c>
      <c r="C29" s="123">
        <f>SUMIFS(デモトレ履歴!$P$3:$P$30,デモトレ履歴!$M$3:$M$30,"loss",デモトレ履歴!$B$3:$B$30,成績表!$A29&amp;"*")</f>
        <v>0</v>
      </c>
      <c r="D29" s="123">
        <f>SUMIFS(デモトレ履歴!$P$3:$P$30,デモトレ履歴!$M$3:$M$30,"drw",デモトレ履歴!$B$3:$B$30,成績表!$A29&amp;"*")</f>
        <v>0</v>
      </c>
      <c r="E29" s="123">
        <f t="shared" si="0"/>
        <v>0</v>
      </c>
      <c r="F29" s="124">
        <f>COUNTIF(デモトレ履歴!$B$3:$B$30,成績表!$A29&amp;"*")</f>
        <v>0</v>
      </c>
      <c r="G29" s="124">
        <f>COUNTIFS(デモトレ履歴!$M$3:$M$30,"win",デモトレ履歴!$B$3:$B$30,成績表!$A29&amp;"*")</f>
        <v>0</v>
      </c>
      <c r="H29" s="124">
        <f>COUNTIFS(デモトレ履歴!$M$3:$M$30,"loss",デモトレ履歴!$B$3:$B$30,成績表!$A29&amp;"*")</f>
        <v>0</v>
      </c>
      <c r="I29" s="124">
        <f>COUNTIFS(デモトレ履歴!$M$3:$M$30,"drw",デモトレ履歴!$B$3:$B$30,成績表!$A29&amp;"*")</f>
        <v>0</v>
      </c>
      <c r="J29" s="125">
        <f t="shared" si="5"/>
        <v>0</v>
      </c>
      <c r="K29" s="123">
        <f t="shared" si="1"/>
        <v>0</v>
      </c>
      <c r="L29" s="123">
        <f t="shared" si="2"/>
        <v>0</v>
      </c>
      <c r="M29" s="138">
        <f t="shared" si="6"/>
        <v>0</v>
      </c>
      <c r="N29" s="139">
        <f t="shared" si="3"/>
        <v>0</v>
      </c>
      <c r="AD29" s="123">
        <f t="shared" si="4"/>
        <v>0</v>
      </c>
    </row>
    <row r="30" spans="1:30">
      <c r="A30" s="122" t="s">
        <v>200</v>
      </c>
      <c r="B30" s="123">
        <f>SUMIFS(デモトレ履歴!$P$3:$P$30,デモトレ履歴!$M$3:$M$30,"win",デモトレ履歴!$B$3:$B$30,成績表!$A30&amp;"*")</f>
        <v>0</v>
      </c>
      <c r="C30" s="123">
        <f>SUMIFS(デモトレ履歴!$P$3:$P$30,デモトレ履歴!$M$3:$M$30,"loss",デモトレ履歴!$B$3:$B$30,成績表!$A30&amp;"*")</f>
        <v>0</v>
      </c>
      <c r="D30" s="123">
        <f>SUMIFS(デモトレ履歴!$P$3:$P$30,デモトレ履歴!$M$3:$M$30,"drw",デモトレ履歴!$B$3:$B$30,成績表!$A30&amp;"*")</f>
        <v>0</v>
      </c>
      <c r="E30" s="123">
        <f t="shared" si="0"/>
        <v>0</v>
      </c>
      <c r="F30" s="124">
        <f>COUNTIF(デモトレ履歴!$B$3:$B$30,成績表!$A30&amp;"*")</f>
        <v>0</v>
      </c>
      <c r="G30" s="124">
        <f>COUNTIFS(デモトレ履歴!$M$3:$M$30,"win",デモトレ履歴!$B$3:$B$30,成績表!$A30&amp;"*")</f>
        <v>0</v>
      </c>
      <c r="H30" s="124">
        <f>COUNTIFS(デモトレ履歴!$M$3:$M$30,"loss",デモトレ履歴!$B$3:$B$30,成績表!$A30&amp;"*")</f>
        <v>0</v>
      </c>
      <c r="I30" s="124">
        <f>COUNTIFS(デモトレ履歴!$M$3:$M$30,"drw",デモトレ履歴!$B$3:$B$30,成績表!$A30&amp;"*")</f>
        <v>0</v>
      </c>
      <c r="J30" s="125">
        <f t="shared" si="5"/>
        <v>0</v>
      </c>
      <c r="K30" s="123">
        <f t="shared" si="1"/>
        <v>0</v>
      </c>
      <c r="L30" s="123">
        <f t="shared" si="2"/>
        <v>0</v>
      </c>
      <c r="M30" s="138">
        <f t="shared" si="6"/>
        <v>0</v>
      </c>
      <c r="N30" s="139">
        <f t="shared" si="3"/>
        <v>0</v>
      </c>
      <c r="AD30" s="123">
        <f t="shared" si="4"/>
        <v>0</v>
      </c>
    </row>
    <row r="31" spans="1:30">
      <c r="A31" s="122" t="s">
        <v>201</v>
      </c>
      <c r="B31" s="123">
        <f>SUMIFS(デモトレ履歴!$P$3:$P$30,デモトレ履歴!$M$3:$M$30,"win",デモトレ履歴!$B$3:$B$30,成績表!$A31&amp;"*")</f>
        <v>0</v>
      </c>
      <c r="C31" s="123">
        <f>SUMIFS(デモトレ履歴!$P$3:$P$30,デモトレ履歴!$M$3:$M$30,"loss",デモトレ履歴!$B$3:$B$30,成績表!$A31&amp;"*")</f>
        <v>0</v>
      </c>
      <c r="D31" s="123">
        <f>SUMIFS(デモトレ履歴!$P$3:$P$30,デモトレ履歴!$M$3:$M$30,"drw",デモトレ履歴!$B$3:$B$30,成績表!$A31&amp;"*")</f>
        <v>0</v>
      </c>
      <c r="E31" s="123">
        <f t="shared" si="0"/>
        <v>0</v>
      </c>
      <c r="F31" s="124">
        <f>COUNTIF(デモトレ履歴!$B$3:$B$30,成績表!$A31&amp;"*")</f>
        <v>0</v>
      </c>
      <c r="G31" s="124">
        <f>COUNTIFS(デモトレ履歴!$M$3:$M$30,"win",デモトレ履歴!$B$3:$B$30,成績表!$A31&amp;"*")</f>
        <v>0</v>
      </c>
      <c r="H31" s="124">
        <f>COUNTIFS(デモトレ履歴!$M$3:$M$30,"loss",デモトレ履歴!$B$3:$B$30,成績表!$A31&amp;"*")</f>
        <v>0</v>
      </c>
      <c r="I31" s="124">
        <f>COUNTIFS(デモトレ履歴!$M$3:$M$30,"drw",デモトレ履歴!$B$3:$B$30,成績表!$A31&amp;"*")</f>
        <v>0</v>
      </c>
      <c r="J31" s="125">
        <f t="shared" si="5"/>
        <v>0</v>
      </c>
      <c r="K31" s="123">
        <f t="shared" si="1"/>
        <v>0</v>
      </c>
      <c r="L31" s="123">
        <f t="shared" si="2"/>
        <v>0</v>
      </c>
      <c r="M31" s="138">
        <f t="shared" si="6"/>
        <v>0</v>
      </c>
      <c r="N31" s="139">
        <f t="shared" si="3"/>
        <v>0</v>
      </c>
      <c r="AD31" s="123">
        <f t="shared" si="4"/>
        <v>0</v>
      </c>
    </row>
    <row r="32" spans="1:30">
      <c r="A32" s="122" t="s">
        <v>202</v>
      </c>
      <c r="B32" s="123">
        <f>SUMIFS(デモトレ履歴!$P$3:$P$30,デモトレ履歴!$M$3:$M$30,"win",デモトレ履歴!$B$3:$B$30,成績表!$A32&amp;"*")</f>
        <v>0</v>
      </c>
      <c r="C32" s="123">
        <f>SUMIFS(デモトレ履歴!$P$3:$P$30,デモトレ履歴!$M$3:$M$30,"loss",デモトレ履歴!$B$3:$B$30,成績表!$A32&amp;"*")</f>
        <v>0</v>
      </c>
      <c r="D32" s="123">
        <f>SUMIFS(デモトレ履歴!$P$3:$P$30,デモトレ履歴!$M$3:$M$30,"drw",デモトレ履歴!$B$3:$B$30,成績表!$A32&amp;"*")</f>
        <v>101</v>
      </c>
      <c r="E32" s="123">
        <f t="shared" si="0"/>
        <v>101</v>
      </c>
      <c r="F32" s="124">
        <f>COUNTIF(デモトレ履歴!$B$3:$B$30,成績表!$A32&amp;"*")</f>
        <v>2</v>
      </c>
      <c r="G32" s="124">
        <f>COUNTIFS(デモトレ履歴!$M$3:$M$30,"win",デモトレ履歴!$B$3:$B$30,成績表!$A32&amp;"*")</f>
        <v>0</v>
      </c>
      <c r="H32" s="124">
        <f>COUNTIFS(デモトレ履歴!$M$3:$M$30,"loss",デモトレ履歴!$B$3:$B$30,成績表!$A32&amp;"*")</f>
        <v>0</v>
      </c>
      <c r="I32" s="124">
        <f>COUNTIFS(デモトレ履歴!$M$3:$M$30,"drw",デモトレ履歴!$B$3:$B$30,成績表!$A32&amp;"*")</f>
        <v>2</v>
      </c>
      <c r="J32" s="125">
        <f t="shared" si="5"/>
        <v>0</v>
      </c>
      <c r="K32" s="123">
        <f t="shared" si="1"/>
        <v>0</v>
      </c>
      <c r="L32" s="123">
        <f t="shared" si="2"/>
        <v>0</v>
      </c>
      <c r="M32" s="138">
        <f t="shared" si="6"/>
        <v>0</v>
      </c>
      <c r="N32" s="139">
        <f t="shared" si="3"/>
        <v>0</v>
      </c>
      <c r="AD32" s="123">
        <f t="shared" si="4"/>
        <v>0</v>
      </c>
    </row>
    <row r="33" spans="1:30">
      <c r="A33" s="122" t="s">
        <v>203</v>
      </c>
      <c r="B33" s="123">
        <f>SUMIFS(デモトレ履歴!$P$3:$P$30,デモトレ履歴!$M$3:$M$30,"win",デモトレ履歴!$B$3:$B$30,成績表!$A33&amp;"*")</f>
        <v>0</v>
      </c>
      <c r="C33" s="123">
        <f>SUMIFS(デモトレ履歴!$P$3:$P$30,デモトレ履歴!$M$3:$M$30,"loss",デモトレ履歴!$B$3:$B$30,成績表!$A33&amp;"*")</f>
        <v>0</v>
      </c>
      <c r="D33" s="123">
        <f>SUMIFS(デモトレ履歴!$P$3:$P$30,デモトレ履歴!$M$3:$M$30,"drw",デモトレ履歴!$B$3:$B$30,成績表!$A33&amp;"*")</f>
        <v>0</v>
      </c>
      <c r="E33" s="123">
        <f t="shared" si="0"/>
        <v>0</v>
      </c>
      <c r="F33" s="124">
        <f>COUNTIF(デモトレ履歴!$B$3:$B$30,成績表!$A33&amp;"*")</f>
        <v>0</v>
      </c>
      <c r="G33" s="124">
        <f>COUNTIFS(デモトレ履歴!$M$3:$M$30,"win",デモトレ履歴!$B$3:$B$30,成績表!$A33&amp;"*")</f>
        <v>0</v>
      </c>
      <c r="H33" s="124">
        <f>COUNTIFS(デモトレ履歴!$M$3:$M$30,"loss",デモトレ履歴!$B$3:$B$30,成績表!$A33&amp;"*")</f>
        <v>0</v>
      </c>
      <c r="I33" s="124">
        <f>COUNTIFS(デモトレ履歴!$M$3:$M$30,"drw",デモトレ履歴!$B$3:$B$30,成績表!$A33&amp;"*")</f>
        <v>0</v>
      </c>
      <c r="J33" s="125">
        <f t="shared" si="5"/>
        <v>0</v>
      </c>
      <c r="K33" s="123">
        <f t="shared" si="1"/>
        <v>0</v>
      </c>
      <c r="L33" s="123">
        <f t="shared" si="2"/>
        <v>0</v>
      </c>
      <c r="M33" s="138">
        <f t="shared" si="6"/>
        <v>0</v>
      </c>
      <c r="N33" s="139">
        <f t="shared" si="3"/>
        <v>0</v>
      </c>
      <c r="AD33" s="123">
        <f t="shared" si="4"/>
        <v>0</v>
      </c>
    </row>
    <row r="34" spans="1:30">
      <c r="A34" s="122" t="s">
        <v>204</v>
      </c>
      <c r="B34" s="123">
        <f>SUMIFS(デモトレ履歴!$P$3:$P$30,デモトレ履歴!$M$3:$M$30,"win",デモトレ履歴!$B$3:$B$30,成績表!$A34&amp;"*")</f>
        <v>0</v>
      </c>
      <c r="C34" s="123">
        <f>SUMIFS(デモトレ履歴!$P$3:$P$30,デモトレ履歴!$M$3:$M$30,"loss",デモトレ履歴!$B$3:$B$30,成績表!$A34&amp;"*")</f>
        <v>0</v>
      </c>
      <c r="D34" s="123">
        <f>SUMIFS(デモトレ履歴!$P$3:$P$30,デモトレ履歴!$M$3:$M$30,"drw",デモトレ履歴!$B$3:$B$30,成績表!$A34&amp;"*")</f>
        <v>0</v>
      </c>
      <c r="E34" s="123">
        <f t="shared" si="0"/>
        <v>0</v>
      </c>
      <c r="F34" s="124">
        <f>COUNTIF(デモトレ履歴!$B$3:$B$30,成績表!$A34&amp;"*")</f>
        <v>0</v>
      </c>
      <c r="G34" s="124">
        <f>COUNTIFS(デモトレ履歴!$M$3:$M$30,"win",デモトレ履歴!$B$3:$B$30,成績表!$A34&amp;"*")</f>
        <v>0</v>
      </c>
      <c r="H34" s="124">
        <f>COUNTIFS(デモトレ履歴!$M$3:$M$30,"loss",デモトレ履歴!$B$3:$B$30,成績表!$A34&amp;"*")</f>
        <v>0</v>
      </c>
      <c r="I34" s="124">
        <f>COUNTIFS(デモトレ履歴!$M$3:$M$30,"drw",デモトレ履歴!$B$3:$B$30,成績表!$A34&amp;"*")</f>
        <v>0</v>
      </c>
      <c r="J34" s="125">
        <f t="shared" si="5"/>
        <v>0</v>
      </c>
      <c r="K34" s="123">
        <f t="shared" si="1"/>
        <v>0</v>
      </c>
      <c r="L34" s="123">
        <f t="shared" si="2"/>
        <v>0</v>
      </c>
      <c r="M34" s="138">
        <f t="shared" si="6"/>
        <v>0</v>
      </c>
      <c r="N34" s="139">
        <f t="shared" si="3"/>
        <v>0</v>
      </c>
      <c r="AD34" s="123">
        <f t="shared" si="4"/>
        <v>0</v>
      </c>
    </row>
    <row r="35" spans="1:30">
      <c r="A35" s="122" t="s">
        <v>205</v>
      </c>
      <c r="B35" s="123">
        <f>SUMIFS(デモトレ履歴!$P$3:$P$30,デモトレ履歴!$M$3:$M$30,"win",デモトレ履歴!$B$3:$B$30,成績表!$A35&amp;"*")</f>
        <v>0</v>
      </c>
      <c r="C35" s="123">
        <f>SUMIFS(デモトレ履歴!$P$3:$P$30,デモトレ履歴!$M$3:$M$30,"loss",デモトレ履歴!$B$3:$B$30,成績表!$A35&amp;"*")</f>
        <v>0</v>
      </c>
      <c r="D35" s="123">
        <f>SUMIFS(デモトレ履歴!$P$3:$P$30,デモトレ履歴!$M$3:$M$30,"drw",デモトレ履歴!$B$3:$B$30,成績表!$A35&amp;"*")</f>
        <v>0</v>
      </c>
      <c r="E35" s="123">
        <f t="shared" si="0"/>
        <v>0</v>
      </c>
      <c r="F35" s="124">
        <f>COUNTIF(デモトレ履歴!$B$3:$B$30,成績表!$A35&amp;"*")</f>
        <v>0</v>
      </c>
      <c r="G35" s="124">
        <f>COUNTIFS(デモトレ履歴!$M$3:$M$30,"win",デモトレ履歴!$B$3:$B$30,成績表!$A35&amp;"*")</f>
        <v>0</v>
      </c>
      <c r="H35" s="124">
        <f>COUNTIFS(デモトレ履歴!$M$3:$M$30,"loss",デモトレ履歴!$B$3:$B$30,成績表!$A35&amp;"*")</f>
        <v>0</v>
      </c>
      <c r="I35" s="124">
        <f>COUNTIFS(デモトレ履歴!$M$3:$M$30,"drw",デモトレ履歴!$B$3:$B$30,成績表!$A35&amp;"*")</f>
        <v>0</v>
      </c>
      <c r="J35" s="125">
        <f t="shared" si="5"/>
        <v>0</v>
      </c>
      <c r="K35" s="123">
        <f t="shared" si="1"/>
        <v>0</v>
      </c>
      <c r="L35" s="123">
        <f t="shared" si="2"/>
        <v>0</v>
      </c>
      <c r="M35" s="138">
        <f t="shared" si="6"/>
        <v>0</v>
      </c>
      <c r="N35" s="139">
        <f t="shared" si="3"/>
        <v>0</v>
      </c>
      <c r="AD35" s="123">
        <f t="shared" si="4"/>
        <v>0</v>
      </c>
    </row>
    <row r="36" spans="1:30">
      <c r="A36" s="126" t="s">
        <v>206</v>
      </c>
      <c r="B36" s="123">
        <f>SUMIFS(デモトレ履歴!$P$3:$P$30,デモトレ履歴!$M$3:$M$30,"win",デモトレ履歴!$B$3:$B$30,成績表!$A36&amp;"*")</f>
        <v>0</v>
      </c>
      <c r="C36" s="123">
        <f>SUMIFS(デモトレ履歴!$P$3:$P$30,デモトレ履歴!$M$3:$M$30,"loss",デモトレ履歴!$B$3:$B$30,成績表!$A36&amp;"*")</f>
        <v>0</v>
      </c>
      <c r="D36" s="123">
        <f>SUMIFS(デモトレ履歴!$P$3:$P$30,デモトレ履歴!$M$3:$M$30,"drw",デモトレ履歴!$B$3:$B$30,成績表!$A36&amp;"*")</f>
        <v>0</v>
      </c>
      <c r="E36" s="123">
        <f t="shared" si="0"/>
        <v>0</v>
      </c>
      <c r="F36" s="124">
        <f>COUNTIF(デモトレ履歴!$B$3:$B$30,成績表!$A36&amp;"*")</f>
        <v>0</v>
      </c>
      <c r="G36" s="124">
        <f>COUNTIFS(デモトレ履歴!$M$3:$M$30,"win",デモトレ履歴!$B$3:$B$30,成績表!$A36&amp;"*")</f>
        <v>0</v>
      </c>
      <c r="H36" s="124">
        <f>COUNTIFS(デモトレ履歴!$M$3:$M$30,"loss",デモトレ履歴!$B$3:$B$30,成績表!$A36&amp;"*")</f>
        <v>0</v>
      </c>
      <c r="I36" s="124">
        <f>COUNTIFS(デモトレ履歴!$M$3:$M$30,"drw",デモトレ履歴!$B$3:$B$30,成績表!$A36&amp;"*")</f>
        <v>0</v>
      </c>
      <c r="J36" s="127">
        <f t="shared" si="5"/>
        <v>0</v>
      </c>
      <c r="K36" s="128">
        <f t="shared" si="1"/>
        <v>0</v>
      </c>
      <c r="L36" s="128">
        <f t="shared" si="2"/>
        <v>0</v>
      </c>
      <c r="M36" s="140">
        <f>IF(AND(K36&lt;&gt;0,L36&lt;&gt;0),K36/L36,0)</f>
        <v>0</v>
      </c>
      <c r="N36" s="141">
        <f t="shared" si="3"/>
        <v>0</v>
      </c>
      <c r="AD36" s="123">
        <f t="shared" si="4"/>
        <v>0</v>
      </c>
    </row>
    <row r="37" spans="1:30">
      <c r="A37" s="129" t="s">
        <v>172</v>
      </c>
      <c r="B37" s="130">
        <f t="shared" ref="B37:I37" si="7">SUM(B9:B36)</f>
        <v>0</v>
      </c>
      <c r="C37" s="130">
        <f t="shared" si="7"/>
        <v>-47151</v>
      </c>
      <c r="D37" s="130">
        <f t="shared" si="7"/>
        <v>-126</v>
      </c>
      <c r="E37" s="130">
        <f t="shared" si="7"/>
        <v>-47277</v>
      </c>
      <c r="F37" s="131">
        <f t="shared" si="7"/>
        <v>11</v>
      </c>
      <c r="G37" s="131">
        <f t="shared" si="7"/>
        <v>0</v>
      </c>
      <c r="H37" s="131">
        <f t="shared" si="7"/>
        <v>6</v>
      </c>
      <c r="I37" s="131">
        <f t="shared" si="7"/>
        <v>5</v>
      </c>
      <c r="J37" s="132"/>
      <c r="K37" s="200" t="s">
        <v>173</v>
      </c>
      <c r="L37" s="201"/>
      <c r="M37" s="201"/>
      <c r="N37" s="202"/>
      <c r="AD37" s="130"/>
    </row>
    <row r="38" spans="1:30" ht="36">
      <c r="A38" s="111"/>
      <c r="B38" s="133"/>
      <c r="C38" s="111"/>
      <c r="D38" s="111"/>
      <c r="E38" s="111"/>
      <c r="F38" s="111"/>
      <c r="G38" s="111"/>
      <c r="H38" s="203" t="s">
        <v>174</v>
      </c>
      <c r="I38" s="204"/>
      <c r="J38" s="134">
        <f>AVERAGE(J9:J36)</f>
        <v>0</v>
      </c>
      <c r="K38" s="129" t="s">
        <v>168</v>
      </c>
      <c r="L38" s="129" t="s">
        <v>169</v>
      </c>
      <c r="M38" s="135" t="s">
        <v>175</v>
      </c>
      <c r="N38" s="135" t="s">
        <v>171</v>
      </c>
      <c r="AD38" s="111"/>
    </row>
    <row r="39" spans="1:30">
      <c r="A39" s="111"/>
      <c r="B39" s="111"/>
      <c r="C39" s="111"/>
      <c r="D39" s="111"/>
      <c r="E39" s="111"/>
      <c r="F39" s="111"/>
      <c r="G39" s="111"/>
      <c r="H39" s="204" t="s">
        <v>176</v>
      </c>
      <c r="I39" s="204"/>
      <c r="J39" s="134">
        <f>G37/F37</f>
        <v>0</v>
      </c>
      <c r="K39" s="130">
        <f>AVERAGE(K9:K36)</f>
        <v>0</v>
      </c>
      <c r="L39" s="130">
        <f>AVERAGE(L9:L36)</f>
        <v>1585.5535714285713</v>
      </c>
      <c r="M39" s="142">
        <f>IF(AND(K39&lt;&gt;0,L39&lt;&gt;0),K39/L39,0)</f>
        <v>0</v>
      </c>
      <c r="N39" s="142">
        <f>IF(AND(B37&lt;&gt;0,C37&lt;&gt;0),B37/C37,0)</f>
        <v>0</v>
      </c>
      <c r="AD39" s="111"/>
    </row>
    <row r="43" spans="1:30" ht="17.25">
      <c r="A43" s="143" t="s">
        <v>209</v>
      </c>
      <c r="B43" s="111"/>
      <c r="C43" s="111"/>
      <c r="D43" s="111"/>
      <c r="E43" s="111"/>
      <c r="F43" s="111"/>
      <c r="G43" s="111"/>
      <c r="H43" s="111"/>
      <c r="I43" s="111"/>
      <c r="J43" s="111"/>
      <c r="K43" s="111"/>
      <c r="L43" s="111"/>
      <c r="M43" s="111"/>
      <c r="N43" s="111"/>
    </row>
    <row r="44" spans="1:30">
      <c r="A44" s="111"/>
      <c r="B44" s="111"/>
      <c r="C44" s="111"/>
      <c r="D44" s="111"/>
      <c r="E44" s="111"/>
      <c r="F44" s="111"/>
      <c r="G44" s="111"/>
      <c r="H44" s="111"/>
      <c r="I44" s="111"/>
      <c r="J44" s="111"/>
      <c r="K44" s="111"/>
      <c r="L44" s="111"/>
      <c r="M44" s="111"/>
      <c r="N44" s="111"/>
    </row>
    <row r="45" spans="1:30" ht="36">
      <c r="A45" s="144" t="s">
        <v>210</v>
      </c>
      <c r="B45" s="144" t="s">
        <v>211</v>
      </c>
      <c r="C45" s="144" t="s">
        <v>212</v>
      </c>
      <c r="D45" s="144" t="s">
        <v>213</v>
      </c>
      <c r="E45" s="145" t="s">
        <v>214</v>
      </c>
      <c r="F45" s="144" t="s">
        <v>215</v>
      </c>
      <c r="G45" s="144" t="s">
        <v>216</v>
      </c>
      <c r="H45" s="144" t="s">
        <v>217</v>
      </c>
      <c r="I45" s="144" t="s">
        <v>218</v>
      </c>
      <c r="J45" s="144" t="s">
        <v>168</v>
      </c>
      <c r="K45" s="144" t="s">
        <v>169</v>
      </c>
      <c r="L45" s="145" t="s">
        <v>224</v>
      </c>
      <c r="M45" s="145" t="s">
        <v>225</v>
      </c>
      <c r="N45" s="145" t="s">
        <v>188</v>
      </c>
      <c r="O45" s="145" t="s">
        <v>219</v>
      </c>
    </row>
    <row r="46" spans="1:30">
      <c r="A46" s="146" t="e">
        <f>DATE(YEAR(C4),MONTH(C4),1)</f>
        <v>#REF!</v>
      </c>
      <c r="B46" s="111">
        <f>SUMIFS(デモトレ履歴!$P$3:$P$30,デモトレ履歴!$M$3:$M$30,"win",デモトレ履歴!$R$3:$R$30,"&lt;"&amp;A47)</f>
        <v>0</v>
      </c>
      <c r="C46" s="111">
        <f>SUMIFS(デモトレ履歴!$P$3:$P$30,デモトレ履歴!$M$3:$M$30,"loss",デモトレ履歴!$R$3:$R$30,"&lt;"&amp;A47)</f>
        <v>0</v>
      </c>
      <c r="D46" s="111">
        <f t="shared" ref="D46:D63" si="8">SUM(B46:C46)</f>
        <v>0</v>
      </c>
      <c r="E46" s="111">
        <f>COUNTIF(デモトレ履歴!$R$3:$R$30,"&lt;"&amp;A47)</f>
        <v>0</v>
      </c>
      <c r="F46" s="111">
        <f>COUNTIFS(デモトレ履歴!$M$3:$M$30,"win",デモトレ履歴!$R$3:$R$30,"&lt;"&amp;$A47)</f>
        <v>0</v>
      </c>
      <c r="G46" s="111">
        <f>COUNTIFS(デモトレ履歴!$M$3:$M$30,"loss",デモトレ履歴!$R$3:$R$30,"&lt;"&amp;$A47)</f>
        <v>0</v>
      </c>
      <c r="H46" s="111">
        <f>COUNTIFS(デモトレ履歴!$M$3:$M$30,"drw",デモトレ履歴!$R$3:$R$30,"&lt;"&amp;$A47)</f>
        <v>0</v>
      </c>
      <c r="I46" s="147" t="str">
        <f>IF(E46&lt;&gt;0,F46/E46,"")</f>
        <v/>
      </c>
      <c r="J46" s="148">
        <f t="shared" ref="J46:J63" si="9">IF(B46&lt;&gt;0,B46/F46,0)</f>
        <v>0</v>
      </c>
      <c r="K46" s="148">
        <f t="shared" ref="K46:K63" si="10">IF(C46&lt;&gt;0,C46/G46,0)</f>
        <v>0</v>
      </c>
      <c r="L46" s="111">
        <f>IF(AND(J46&lt;&gt;0,K46&lt;&gt;0),J46/K46,0)</f>
        <v>0</v>
      </c>
      <c r="M46" s="111">
        <f t="shared" ref="M46:M63" si="11">IF(AND(B46&lt;&gt;0,C46&lt;&gt;0),B46/C46,0)</f>
        <v>0</v>
      </c>
      <c r="N46" s="111">
        <f>SUMIFS(デモトレ履歴!$P$3:$P$30,デモトレ履歴!$M$3:$M$30,"drw",デモトレ履歴!$R$3:$R$30,"&lt;"&amp;A47)</f>
        <v>0</v>
      </c>
      <c r="O46" s="148">
        <f>SUM($C$2,$D46)</f>
        <v>500000</v>
      </c>
    </row>
    <row r="47" spans="1:30">
      <c r="A47" s="146" t="e">
        <f>IF(A45&lt;&gt;"",DATE(YEAR(A46),MONTH(A46)+1,1),"")</f>
        <v>#REF!</v>
      </c>
      <c r="B47" s="111">
        <f>SUMIFS(デモトレ履歴!$P$3:$P$30,デモトレ履歴!$M$3:$M$30,"win",デモトレ履歴!$R$3:$R$30,"&lt;"&amp;A48)-B46</f>
        <v>0</v>
      </c>
      <c r="C47" s="111">
        <f>SUMIFS(デモトレ履歴!$P$3:$P$30,デモトレ履歴!$M$3:$M$30,"loss",デモトレ履歴!$R$3:$R$30,"&lt;"&amp;A48)-C46</f>
        <v>0</v>
      </c>
      <c r="D47" s="111">
        <f t="shared" si="8"/>
        <v>0</v>
      </c>
      <c r="E47" s="111" t="e">
        <f>IF(A47&lt;&gt;"",COUNTIF(デモトレ履歴!$R$3:$R$30,"&lt;"&amp;IF(A48&lt;&gt;"",A48,DATE(YEAR(A47),MONTH(A47),DAY(EOMONTH(A47,0)))))-SUM($E$46:$E46),0)</f>
        <v>#REF!</v>
      </c>
      <c r="F47" s="111">
        <f>COUNTIFS(デモトレ履歴!$M$3:$M$30,"win",デモトレ履歴!$R$3:$R$30,"&lt;"&amp;$A48)-F46</f>
        <v>0</v>
      </c>
      <c r="G47" s="111">
        <f>COUNTIFS(デモトレ履歴!$M$3:$M$30,"loss",デモトレ履歴!$R$3:$R$30,"&lt;"&amp;$A48)-G46</f>
        <v>0</v>
      </c>
      <c r="H47" s="111">
        <f>COUNTIFS(デモトレ履歴!$M$3:$M$30,"drw",デモトレ履歴!$R$3:$R$30,"&lt;"&amp;$A48)-H46</f>
        <v>0</v>
      </c>
      <c r="I47" s="147" t="e">
        <f>IF(E47&lt;&gt;0,F47/E47,0)</f>
        <v>#REF!</v>
      </c>
      <c r="J47" s="148">
        <f t="shared" si="9"/>
        <v>0</v>
      </c>
      <c r="K47" s="148">
        <f t="shared" si="10"/>
        <v>0</v>
      </c>
      <c r="L47" s="111">
        <f>IF(AND(J47&lt;&gt;0,K47&lt;&gt;0),J47/K47,0)</f>
        <v>0</v>
      </c>
      <c r="M47" s="111">
        <f t="shared" si="11"/>
        <v>0</v>
      </c>
      <c r="N47" s="111">
        <f>SUMIFS(デモトレ履歴!$P$3:$P$30,デモトレ履歴!$M$3:$M$30,"drw",デモトレ履歴!$R$3:$R$30,"&lt;"&amp;A48)-N46</f>
        <v>0</v>
      </c>
      <c r="O47" s="148">
        <f t="shared" ref="O47:O63" si="12">SUM(O46,$D47)</f>
        <v>500000</v>
      </c>
    </row>
    <row r="48" spans="1:30">
      <c r="A48" s="146" t="e">
        <f t="shared" ref="A48:A63" si="13">IF(A46&lt;&gt;"",DATE(YEAR(A47),MONTH(A47)+1,1),"")</f>
        <v>#REF!</v>
      </c>
      <c r="B48" s="111" t="e">
        <f>IF(E48&gt;0,SUMIFS(デモトレ履歴!$P$3:$P$30,デモトレ履歴!$M$3:$M$30,"win",デモトレ履歴!$R$3:$R30,"&lt;"&amp;IF(A49&lt;&gt;"",A49,DATE(YEAR(A48),MONTH(A48),DAY(EOMONTH(A48,0)))))-SUM($B$44:$B47),0)</f>
        <v>#REF!</v>
      </c>
      <c r="C48" s="111" t="e">
        <f>IF(E48&gt;0,SUMIFS(デモトレ履歴!$P$3:$P$30,デモトレ履歴!$M$3:$M$30,"loss",デモトレ履歴!$R$3:$R$30,"&lt;"&amp;IF(A49&lt;&gt;"",A49,DATE(YEAR(A48),MONTH(A48),DAY(EOMONTH(A48,0)))))-SUM($C$46:$C47),0)</f>
        <v>#REF!</v>
      </c>
      <c r="D48" s="111" t="e">
        <f t="shared" si="8"/>
        <v>#REF!</v>
      </c>
      <c r="E48" s="111" t="e">
        <f>IF(A48&lt;&gt;"",COUNTIF(デモトレ履歴!$R$3:$R$30,"&lt;"&amp;IF(A49&lt;&gt;"",A49,DATE(YEAR(A48),MONTH(A48),DAY(EOMONTH(A48,0)))))-SUM($E$46:$E47),0)</f>
        <v>#REF!</v>
      </c>
      <c r="F48" s="111" t="e">
        <f>IF(A49&lt;&gt;"",COUNTIFS(デモトレ履歴!$M$3:$M$30,"win",デモトレ履歴!$R$3:$R$30,"&lt;"&amp;IF(A49&lt;&gt;"",A49,DATE(YEAR(A48),MONTH(A48),DAY(EOMONTH(A48,0)))))-SUM($F$46:$F47),0)</f>
        <v>#REF!</v>
      </c>
      <c r="G48" s="111" t="e">
        <f>IF(A49&lt;&gt;"",COUNTIFS(デモトレ履歴!$M$3:$M$30,"loss",デモトレ履歴!$R$3:$R$30,"&lt;"&amp;IF(A49&lt;&gt;"",A49,DATE(YEAR(A48),MONTH(A48),DAY(EOMONTH(A48,0)))))-SUM($G$46:$G47),0)</f>
        <v>#REF!</v>
      </c>
      <c r="H48" s="111">
        <f>COUNTIFS(デモトレ履歴!$M$3:$M$30,"drw",デモトレ履歴!$R$3:$R$30,"&lt;"&amp;IF(A49&lt;&gt;"",A49,DATE(YEAR(A48),MONTH(A48),DAY(EOMONTH(A48,0)))))-SUM($H$46:$H47)</f>
        <v>0</v>
      </c>
      <c r="I48" s="147" t="e">
        <f t="shared" ref="I48:I63" si="14">IF(E48&lt;&gt;0,F48/E48,0)</f>
        <v>#REF!</v>
      </c>
      <c r="J48" s="148" t="e">
        <f t="shared" si="9"/>
        <v>#REF!</v>
      </c>
      <c r="K48" s="148" t="e">
        <f t="shared" si="10"/>
        <v>#REF!</v>
      </c>
      <c r="L48" s="111" t="e">
        <f t="shared" ref="L48:L63" si="15">IF(AND(J48&lt;&gt;0,K48&lt;&gt;0),J48/K48,0)</f>
        <v>#REF!</v>
      </c>
      <c r="M48" s="111" t="e">
        <f t="shared" si="11"/>
        <v>#REF!</v>
      </c>
      <c r="N48" s="111" t="e">
        <f>IF(E48&gt;0,SUMIFS(デモトレ履歴!$P$3:$P$30,デモトレ履歴!$M$3:$M$30,"drw",デモトレ履歴!$R$3:$R$30,"&lt;"&amp;IF(A49&lt;&gt;"",A49,DATE(YEAR(A48),MONTH(A48),DAY(EOMONTH(A48,0)))))-SUM($N$46:$N47),0)</f>
        <v>#REF!</v>
      </c>
      <c r="O48" s="148" t="e">
        <f t="shared" si="12"/>
        <v>#REF!</v>
      </c>
    </row>
    <row r="49" spans="1:15">
      <c r="A49" s="146" t="e">
        <f t="shared" si="13"/>
        <v>#REF!</v>
      </c>
      <c r="B49" s="111" t="e">
        <f>IF(E49&gt;0,SUMIFS(デモトレ履歴!$P$3:$P$30,デモトレ履歴!$M$3:$M$30,"win",デモトレ履歴!$R$3:$R30,"&lt;"&amp;IF(A50&lt;&gt;"",A50,DATE(YEAR(A49),MONTH(A49),DAY(EOMONTH(A49,0)))))-SUM($B$44:$B48),0)</f>
        <v>#REF!</v>
      </c>
      <c r="C49" s="111" t="e">
        <f>IF(E49&gt;0,SUMIFS(デモトレ履歴!$P$3:$P$30,デモトレ履歴!$M$3:$M$30,"loss",デモトレ履歴!$R$3:$R$30,"&lt;"&amp;IF(A50&lt;&gt;"",A50,DATE(YEAR(A49),MONTH(A49),DAY(EOMONTH(A49,0)))))-SUM($C$46:$C48),0)</f>
        <v>#REF!</v>
      </c>
      <c r="D49" s="111" t="e">
        <f t="shared" si="8"/>
        <v>#REF!</v>
      </c>
      <c r="E49" s="111" t="e">
        <f>IF(A49&lt;&gt;"",COUNTIF(デモトレ履歴!$R$3:$R$30,"&lt;"&amp;IF(A50&lt;&gt;"",A50,DATE(YEAR(A49),MONTH(A49),DAY(EOMONTH(A49,0)))))-SUM($E$46:$E48),0)</f>
        <v>#REF!</v>
      </c>
      <c r="F49" s="111" t="e">
        <f>IF(A50&lt;&gt;"",COUNTIFS(デモトレ履歴!$M$3:$M$30,"win",デモトレ履歴!$R$3:$R$30,"&lt;"&amp;IF(A50&lt;&gt;"",A50,DATE(YEAR(A49),MONTH(A49),DAY(EOMONTH(A49,0)))))-SUM($F$46:$F48),0)</f>
        <v>#REF!</v>
      </c>
      <c r="G49" s="111" t="e">
        <f>IF(A50&lt;&gt;"",COUNTIFS(デモトレ履歴!$M$3:$M$30,"loss",デモトレ履歴!$R$3:$R$30,"&lt;"&amp;IF(A50&lt;&gt;"",A50,DATE(YEAR(A49),MONTH(A49),DAY(EOMONTH(A49,0)))))-SUM($G$46:$G48),0)</f>
        <v>#REF!</v>
      </c>
      <c r="H49" s="111">
        <f>COUNTIFS(デモトレ履歴!$M$3:$M$30,"drw",デモトレ履歴!$R$3:$R$30,"&lt;"&amp;IF(A50&lt;&gt;"",A50,DATE(YEAR(A49),MONTH(A49),DAY(EOMONTH(A49,0)))))-SUM($H$46:$H48)</f>
        <v>0</v>
      </c>
      <c r="I49" s="147" t="e">
        <f t="shared" si="14"/>
        <v>#REF!</v>
      </c>
      <c r="J49" s="148" t="e">
        <f t="shared" si="9"/>
        <v>#REF!</v>
      </c>
      <c r="K49" s="148" t="e">
        <f t="shared" si="10"/>
        <v>#REF!</v>
      </c>
      <c r="L49" s="111" t="e">
        <f t="shared" si="15"/>
        <v>#REF!</v>
      </c>
      <c r="M49" s="111" t="e">
        <f t="shared" si="11"/>
        <v>#REF!</v>
      </c>
      <c r="N49" s="111" t="e">
        <f>IF(E49&gt;0,SUMIFS(デモトレ履歴!$P$3:$P$30,デモトレ履歴!$M$3:$M$30,"drw",デモトレ履歴!$R$3:$R$30,"&lt;"&amp;IF(A50&lt;&gt;"",A50,DATE(YEAR(A49),MONTH(A49),DAY(EOMONTH(A49,0)))))-SUM($C$46:$C48),0)</f>
        <v>#REF!</v>
      </c>
      <c r="O49" s="148" t="e">
        <f t="shared" si="12"/>
        <v>#REF!</v>
      </c>
    </row>
    <row r="50" spans="1:15">
      <c r="A50" s="146" t="e">
        <f t="shared" si="13"/>
        <v>#REF!</v>
      </c>
      <c r="B50" s="111" t="e">
        <f>IF(E50&gt;0,SUMIFS(デモトレ履歴!$P$3:$P$30,デモトレ履歴!$M$3:$M$30,"win",デモトレ履歴!$R$3:$R30,"&lt;"&amp;IF(A51&lt;&gt;"",A51,DATE(YEAR(A50),MONTH(A50),DAY(EOMONTH(A50,0)))))-SUM($B$44:$B49),0)</f>
        <v>#REF!</v>
      </c>
      <c r="C50" s="111" t="e">
        <f>IF(E50&gt;0,SUMIFS(デモトレ履歴!$P$3:$P$30,デモトレ履歴!$M$3:$M$30,"loss",デモトレ履歴!$R$3:$R$30,"&lt;"&amp;IF(A51&lt;&gt;"",A51,DATE(YEAR(A50),MONTH(A50),DAY(EOMONTH(A50,0)))))-SUM($C$46:$C49),0)</f>
        <v>#REF!</v>
      </c>
      <c r="D50" s="111" t="e">
        <f t="shared" si="8"/>
        <v>#REF!</v>
      </c>
      <c r="E50" s="111" t="e">
        <f>IF(A50&lt;&gt;"",COUNTIF(デモトレ履歴!$R$3:$R$30,"&lt;"&amp;IF(A51&lt;&gt;"",A51,DATE(YEAR(A50),MONTH(A50),DAY(EOMONTH(A50,0)))))-SUM($E$46:$E49),0)</f>
        <v>#REF!</v>
      </c>
      <c r="F50" s="111" t="e">
        <f>IF(A51&lt;&gt;"",COUNTIFS(デモトレ履歴!$M$3:$M$30,"win",デモトレ履歴!$R$3:$R$30,"&lt;"&amp;IF(A51&lt;&gt;"",A51,DATE(YEAR(A50),MONTH(A50),DAY(EOMONTH(A50,0)))))-SUM($F$46:$F49),0)</f>
        <v>#REF!</v>
      </c>
      <c r="G50" s="111" t="e">
        <f>IF(A51&lt;&gt;"",COUNTIFS(デモトレ履歴!$M$3:$M$30,"loss",デモトレ履歴!$R$3:$R$30,"&lt;"&amp;IF(A51&lt;&gt;"",A51,DATE(YEAR(A50),MONTH(A50),DAY(EOMONTH(A50,0)))))-SUM($G$46:$G49),0)</f>
        <v>#REF!</v>
      </c>
      <c r="H50" s="111">
        <f>COUNTIFS(デモトレ履歴!$M$3:$M$30,"drw",デモトレ履歴!$R$3:$R$30,"&lt;"&amp;IF(A51&lt;&gt;"",A51,DATE(YEAR(A50),MONTH(A50),DAY(EOMONTH(A50,0)))))-SUM($H$46:$H49)</f>
        <v>0</v>
      </c>
      <c r="I50" s="147" t="e">
        <f t="shared" si="14"/>
        <v>#REF!</v>
      </c>
      <c r="J50" s="148" t="e">
        <f t="shared" si="9"/>
        <v>#REF!</v>
      </c>
      <c r="K50" s="148" t="e">
        <f t="shared" si="10"/>
        <v>#REF!</v>
      </c>
      <c r="L50" s="111" t="e">
        <f t="shared" si="15"/>
        <v>#REF!</v>
      </c>
      <c r="M50" s="111" t="e">
        <f t="shared" si="11"/>
        <v>#REF!</v>
      </c>
      <c r="N50" s="111" t="e">
        <f>IF(E50&gt;0,SUMIFS(デモトレ履歴!$P$3:$P$30,デモトレ履歴!$M$3:$M$30,"drw",デモトレ履歴!$R$3:$R$30,"&lt;"&amp;IF(A51&lt;&gt;"",A51,DATE(YEAR(A50),MONTH(A50),DAY(EOMONTH(A50,0)))))-SUM($C$46:$C49),0)</f>
        <v>#REF!</v>
      </c>
      <c r="O50" s="148" t="e">
        <f t="shared" si="12"/>
        <v>#REF!</v>
      </c>
    </row>
    <row r="51" spans="1:15">
      <c r="A51" s="146" t="e">
        <f t="shared" si="13"/>
        <v>#REF!</v>
      </c>
      <c r="B51" s="111" t="e">
        <f>IF(E51&gt;0,SUMIFS(デモトレ履歴!$P$3:$P$30,デモトレ履歴!$M$3:$M$30,"win",デモトレ履歴!$R$3:$R30,"&lt;"&amp;IF(A52&lt;&gt;"",A52,DATE(YEAR(A51),MONTH(A51),DAY(EOMONTH(A51,0)))))-SUM($B$44:$B50),0)</f>
        <v>#REF!</v>
      </c>
      <c r="C51" s="111" t="e">
        <f>IF(E51&gt;0,SUMIFS(デモトレ履歴!$P$3:$P$30,デモトレ履歴!$M$3:$M$30,"loss",デモトレ履歴!$R$3:$R$30,"&lt;"&amp;IF(A52&lt;&gt;"",A52,DATE(YEAR(A51),MONTH(A51),DAY(EOMONTH(A51,0)))))-SUM($C$46:$C50),0)</f>
        <v>#REF!</v>
      </c>
      <c r="D51" s="111" t="e">
        <f t="shared" si="8"/>
        <v>#REF!</v>
      </c>
      <c r="E51" s="111" t="e">
        <f>IF(A51&lt;&gt;"",COUNTIF(デモトレ履歴!$R$3:$R$30,"&lt;"&amp;IF(A52&lt;&gt;"",A52,DATE(YEAR(A51),MONTH(A51),DAY(EOMONTH(A51,0)))))-SUM($E$46:$E50),0)</f>
        <v>#REF!</v>
      </c>
      <c r="F51" s="111" t="e">
        <f>IF(A52&lt;&gt;"",COUNTIFS(デモトレ履歴!$M$3:$M$30,"win",デモトレ履歴!$R$3:$R$30,"&lt;"&amp;IF(A52&lt;&gt;"",A52,DATE(YEAR(A51),MONTH(A51),DAY(EOMONTH(A51,0)))))-SUM($F$46:$F50),0)</f>
        <v>#REF!</v>
      </c>
      <c r="G51" s="111" t="e">
        <f>IF(A52&lt;&gt;"",COUNTIFS(デモトレ履歴!$M$3:$M$30,"loss",デモトレ履歴!$R$3:$R$30,"&lt;"&amp;IF(A52&lt;&gt;"",A52,DATE(YEAR(A51),MONTH(A51),DAY(EOMONTH(A51,0)))))-SUM($G$46:$G50),0)</f>
        <v>#REF!</v>
      </c>
      <c r="H51" s="111">
        <f>COUNTIFS(デモトレ履歴!$M$3:$M$30,"drw",デモトレ履歴!$R$3:$R$30,"&lt;"&amp;IF(A52&lt;&gt;"",A52,DATE(YEAR(A51),MONTH(A51),DAY(EOMONTH(A51,0)))))-SUM($H$46:$H50)</f>
        <v>0</v>
      </c>
      <c r="I51" s="147" t="e">
        <f t="shared" si="14"/>
        <v>#REF!</v>
      </c>
      <c r="J51" s="148" t="e">
        <f t="shared" si="9"/>
        <v>#REF!</v>
      </c>
      <c r="K51" s="148" t="e">
        <f t="shared" si="10"/>
        <v>#REF!</v>
      </c>
      <c r="L51" s="111" t="e">
        <f t="shared" si="15"/>
        <v>#REF!</v>
      </c>
      <c r="M51" s="111" t="e">
        <f t="shared" si="11"/>
        <v>#REF!</v>
      </c>
      <c r="N51" s="111" t="e">
        <f>IF(E51&gt;0,SUMIFS(デモトレ履歴!$P$3:$P$30,デモトレ履歴!$M$3:$M$30,"drw",デモトレ履歴!$R$3:$R$30,"&lt;"&amp;IF(A52&lt;&gt;"",A52,DATE(YEAR(A51),MONTH(A51),DAY(EOMONTH(A51,0)))))-SUM($C$46:$C50),0)</f>
        <v>#REF!</v>
      </c>
      <c r="O51" s="148" t="e">
        <f t="shared" si="12"/>
        <v>#REF!</v>
      </c>
    </row>
    <row r="52" spans="1:15">
      <c r="A52" s="146" t="e">
        <f t="shared" si="13"/>
        <v>#REF!</v>
      </c>
      <c r="B52" s="111" t="e">
        <f>IF(E52&gt;0,SUMIFS(デモトレ履歴!$P$3:$P$30,デモトレ履歴!$M$3:$M$30,"win",デモトレ履歴!$R$3:$R31,"&lt;"&amp;IF(A53&lt;&gt;"",A53,DATE(YEAR(A52),MONTH(A52),DAY(EOMONTH(A52,0)))))-SUM($B$44:$B51),0)</f>
        <v>#REF!</v>
      </c>
      <c r="C52" s="111" t="e">
        <f>IF(E52&gt;0,SUMIFS(デモトレ履歴!$P$3:$P$30,デモトレ履歴!$M$3:$M$30,"loss",デモトレ履歴!$R$3:$R$30,"&lt;"&amp;IF(A53&lt;&gt;"",A53,DATE(YEAR(A52),MONTH(A52),DAY(EOMONTH(A52,0)))))-SUM($C$46:$C51),0)</f>
        <v>#REF!</v>
      </c>
      <c r="D52" s="111" t="e">
        <f t="shared" si="8"/>
        <v>#REF!</v>
      </c>
      <c r="E52" s="111" t="e">
        <f>IF(A52&lt;&gt;"",COUNTIF(デモトレ履歴!$R$3:$R$30,"&lt;"&amp;IF(A53&lt;&gt;"",A53,DATE(YEAR(A52),MONTH(A52),DAY(EOMONTH(A52,0)))))-SUM($E$46:$E51),0)</f>
        <v>#REF!</v>
      </c>
      <c r="F52" s="111" t="e">
        <f>IF(A53&lt;&gt;"",COUNTIFS(デモトレ履歴!$M$3:$M$30,"win",デモトレ履歴!$R$3:$R$30,"&lt;"&amp;IF(A53&lt;&gt;"",A53,DATE(YEAR(A52),MONTH(A52),DAY(EOMONTH(A52,0)))))-SUM($F$46:$F51),0)</f>
        <v>#REF!</v>
      </c>
      <c r="G52" s="111" t="e">
        <f>IF(A53&lt;&gt;"",COUNTIFS(デモトレ履歴!$M$3:$M$30,"loss",デモトレ履歴!$R$3:$R$30,"&lt;"&amp;IF(A53&lt;&gt;"",A53,DATE(YEAR(A52),MONTH(A52),DAY(EOMONTH(A52,0)))))-SUM($G$46:$G51),0)</f>
        <v>#REF!</v>
      </c>
      <c r="H52" s="111">
        <f>COUNTIFS(デモトレ履歴!$M$3:$M$30,"drw",デモトレ履歴!$R$3:$R$30,"&lt;"&amp;IF(A53&lt;&gt;"",A53,DATE(YEAR(A52),MONTH(A52),DAY(EOMONTH(A52,0)))))-SUM($H$46:$H51)</f>
        <v>0</v>
      </c>
      <c r="I52" s="147" t="e">
        <f t="shared" si="14"/>
        <v>#REF!</v>
      </c>
      <c r="J52" s="148" t="e">
        <f t="shared" si="9"/>
        <v>#REF!</v>
      </c>
      <c r="K52" s="148" t="e">
        <f t="shared" si="10"/>
        <v>#REF!</v>
      </c>
      <c r="L52" s="111" t="e">
        <f t="shared" si="15"/>
        <v>#REF!</v>
      </c>
      <c r="M52" s="111" t="e">
        <f t="shared" si="11"/>
        <v>#REF!</v>
      </c>
      <c r="N52" s="111" t="e">
        <f>IF(E52&gt;0,SUMIFS(デモトレ履歴!$P$3:$P$30,デモトレ履歴!$M$3:$M$30,"drw",デモトレ履歴!$R$3:$R$30,"&lt;"&amp;IF(A53&lt;&gt;"",A53,DATE(YEAR(A52),MONTH(A52),DAY(EOMONTH(A52,0)))))-SUM($C$46:$C51),0)</f>
        <v>#REF!</v>
      </c>
      <c r="O52" s="148" t="e">
        <f t="shared" si="12"/>
        <v>#REF!</v>
      </c>
    </row>
    <row r="53" spans="1:15">
      <c r="A53" s="146" t="e">
        <f t="shared" si="13"/>
        <v>#REF!</v>
      </c>
      <c r="B53" s="111" t="e">
        <f>IF(E53&gt;0,SUMIFS(デモトレ履歴!$P$3:$P$30,デモトレ履歴!$M$3:$M$30,"win",デモトレ履歴!$R$3:$R32,"&lt;"&amp;IF(A54&lt;&gt;"",A54,DATE(YEAR(A53),MONTH(A53),DAY(EOMONTH(A53,0)))))-SUM($B$44:$B52),0)</f>
        <v>#REF!</v>
      </c>
      <c r="C53" s="111" t="e">
        <f>IF(E53&gt;0,SUMIFS(デモトレ履歴!$P$3:$P$30,デモトレ履歴!$M$3:$M$30,"loss",デモトレ履歴!$R$3:$R$30,"&lt;"&amp;IF(A54&lt;&gt;"",A54,DATE(YEAR(A53),MONTH(A53),DAY(EOMONTH(A53,0)))))-SUM($C$46:$C52),0)</f>
        <v>#REF!</v>
      </c>
      <c r="D53" s="111" t="e">
        <f t="shared" si="8"/>
        <v>#REF!</v>
      </c>
      <c r="E53" s="111" t="e">
        <f>IF(A53&lt;&gt;"",COUNTIF(デモトレ履歴!$R$3:$R$30,"&lt;"&amp;IF(A54&lt;&gt;"",A54,DATE(YEAR(A53),MONTH(A53),DAY(EOMONTH(A53,0)))))-SUM($E$46:$E52),0)</f>
        <v>#REF!</v>
      </c>
      <c r="F53" s="111" t="e">
        <f>IF(A54&lt;&gt;"",COUNTIFS(デモトレ履歴!$M$3:$M$30,"win",デモトレ履歴!$R$3:$R$30,"&lt;"&amp;IF(A54&lt;&gt;"",A54,DATE(YEAR(A53),MONTH(A53),DAY(EOMONTH(A53,0)))))-SUM($F$46:$F52),0)</f>
        <v>#REF!</v>
      </c>
      <c r="G53" s="111" t="e">
        <f>IF(A54&lt;&gt;"",COUNTIFS(デモトレ履歴!$M$3:$M$30,"loss",デモトレ履歴!$R$3:$R$30,"&lt;"&amp;IF(A54&lt;&gt;"",A54,DATE(YEAR(A53),MONTH(A53),DAY(EOMONTH(A53,0)))))-SUM($G$46:$G52),0)</f>
        <v>#REF!</v>
      </c>
      <c r="H53" s="111">
        <f>COUNTIFS(デモトレ履歴!$M$3:$M$30,"drw",デモトレ履歴!$R$3:$R$30,"&lt;"&amp;IF(A54&lt;&gt;"",A54,DATE(YEAR(A53),MONTH(A53),DAY(EOMONTH(A53,0)))))-SUM($H$46:$H52)</f>
        <v>0</v>
      </c>
      <c r="I53" s="147" t="e">
        <f t="shared" si="14"/>
        <v>#REF!</v>
      </c>
      <c r="J53" s="148" t="e">
        <f t="shared" si="9"/>
        <v>#REF!</v>
      </c>
      <c r="K53" s="148" t="e">
        <f t="shared" si="10"/>
        <v>#REF!</v>
      </c>
      <c r="L53" s="111" t="e">
        <f t="shared" si="15"/>
        <v>#REF!</v>
      </c>
      <c r="M53" s="111" t="e">
        <f t="shared" si="11"/>
        <v>#REF!</v>
      </c>
      <c r="N53" s="111" t="e">
        <f>IF(E53&gt;0,SUMIFS(デモトレ履歴!$P$3:$P$30,デモトレ履歴!$M$3:$M$30,"drw",デモトレ履歴!$R$3:$R$30,"&lt;"&amp;IF(A54&lt;&gt;"",A54,DATE(YEAR(A53),MONTH(A53),DAY(EOMONTH(A53,0)))))-SUM($C$46:$C52),0)</f>
        <v>#REF!</v>
      </c>
      <c r="O53" s="148" t="e">
        <f t="shared" si="12"/>
        <v>#REF!</v>
      </c>
    </row>
    <row r="54" spans="1:15">
      <c r="A54" s="146" t="e">
        <f t="shared" si="13"/>
        <v>#REF!</v>
      </c>
      <c r="B54" s="111" t="e">
        <f>IF(E54&gt;0,SUMIFS(デモトレ履歴!$P$3:$P$30,デモトレ履歴!$M$3:$M$30,"win",デモトレ履歴!$R$3:$R33,"&lt;"&amp;IF(A55&lt;&gt;"",A55,DATE(YEAR(A54),MONTH(A54),DAY(EOMONTH(A54,0)))))-SUM($B$44:$B53),0)</f>
        <v>#REF!</v>
      </c>
      <c r="C54" s="111" t="e">
        <f>IF(E54&gt;0,SUMIFS(デモトレ履歴!$P$3:$P$30,デモトレ履歴!$M$3:$M$30,"loss",デモトレ履歴!$R$3:$R$30,"&lt;"&amp;IF(A55&lt;&gt;"",A55,DATE(YEAR(A54),MONTH(A54),DAY(EOMONTH(A54,0)))))-SUM($C$46:$C53),0)</f>
        <v>#REF!</v>
      </c>
      <c r="D54" s="111" t="e">
        <f t="shared" si="8"/>
        <v>#REF!</v>
      </c>
      <c r="E54" s="111" t="e">
        <f>IF(A54&lt;&gt;"",COUNTIF(デモトレ履歴!$R$3:$R$30,"&lt;"&amp;IF(A55&lt;&gt;"",A55,DATE(YEAR(A54),MONTH(A54),DAY(EOMONTH(A54,0)))))-SUM($E$46:$E53),0)</f>
        <v>#REF!</v>
      </c>
      <c r="F54" s="111" t="e">
        <f>IF(A55&lt;&gt;"",COUNTIFS(デモトレ履歴!$M$3:$M$30,"win",デモトレ履歴!$R$3:$R$30,"&lt;"&amp;IF(A55&lt;&gt;"",A55,DATE(YEAR(A54),MONTH(A54),DAY(EOMONTH(A54,0)))))-SUM($F$46:$F53),0)</f>
        <v>#REF!</v>
      </c>
      <c r="G54" s="111" t="e">
        <f>IF(A55&lt;&gt;"",COUNTIFS(デモトレ履歴!$M$3:$M$30,"loss",デモトレ履歴!$R$3:$R$30,"&lt;"&amp;IF(A55&lt;&gt;"",A55,DATE(YEAR(A54),MONTH(A54),DAY(EOMONTH(A54,0)))))-SUM($G$46:$G53),0)</f>
        <v>#REF!</v>
      </c>
      <c r="H54" s="111">
        <f>COUNTIFS(デモトレ履歴!$M$3:$M$30,"drw",デモトレ履歴!$R$3:$R$30,"&lt;"&amp;IF(A55&lt;&gt;"",A55,DATE(YEAR(A54),MONTH(A54),DAY(EOMONTH(A54,0)))))-SUM($H$46:$H53)</f>
        <v>0</v>
      </c>
      <c r="I54" s="147" t="e">
        <f t="shared" si="14"/>
        <v>#REF!</v>
      </c>
      <c r="J54" s="148" t="e">
        <f t="shared" si="9"/>
        <v>#REF!</v>
      </c>
      <c r="K54" s="148" t="e">
        <f t="shared" si="10"/>
        <v>#REF!</v>
      </c>
      <c r="L54" s="111" t="e">
        <f t="shared" si="15"/>
        <v>#REF!</v>
      </c>
      <c r="M54" s="111" t="e">
        <f t="shared" si="11"/>
        <v>#REF!</v>
      </c>
      <c r="N54" s="111" t="e">
        <f>IF(E54&gt;0,SUMIFS(デモトレ履歴!$P$3:$P$30,デモトレ履歴!$M$3:$M$30,"drw",デモトレ履歴!$R$3:$R$30,"&lt;"&amp;IF(A55&lt;&gt;"",A55,DATE(YEAR(A54),MONTH(A54),DAY(EOMONTH(A54,0)))))-SUM($C$46:$C53),0)</f>
        <v>#REF!</v>
      </c>
      <c r="O54" s="148" t="e">
        <f t="shared" si="12"/>
        <v>#REF!</v>
      </c>
    </row>
    <row r="55" spans="1:15">
      <c r="A55" s="146" t="e">
        <f t="shared" si="13"/>
        <v>#REF!</v>
      </c>
      <c r="B55" s="111" t="e">
        <f>IF(E55&gt;0,SUMIFS(デモトレ履歴!$P$3:$P$30,デモトレ履歴!$M$3:$M$30,"win",デモトレ履歴!$R$3:$R34,"&lt;"&amp;IF(A56&lt;&gt;"",A56,DATE(YEAR(A55),MONTH(A55),DAY(EOMONTH(A55,0)))))-SUM($B$44:$B54),0)</f>
        <v>#REF!</v>
      </c>
      <c r="C55" s="111" t="e">
        <f>IF(E55&gt;0,SUMIFS(デモトレ履歴!$P$3:$P$30,デモトレ履歴!$M$3:$M$30,"loss",デモトレ履歴!$R$3:$R$30,"&lt;"&amp;IF(A56&lt;&gt;"",A56,DATE(YEAR(A55),MONTH(A55),DAY(EOMONTH(A55,0)))))-SUM($C$46:$C54),0)</f>
        <v>#REF!</v>
      </c>
      <c r="D55" s="111" t="e">
        <f t="shared" si="8"/>
        <v>#REF!</v>
      </c>
      <c r="E55" s="111" t="e">
        <f>IF(A55&lt;&gt;"",COUNTIF(デモトレ履歴!$R$3:$R$30,"&lt;"&amp;IF(A56&lt;&gt;"",A56,DATE(YEAR(A55),MONTH(A55),DAY(EOMONTH(A55,0)))))-SUM($E$46:$E54),0)</f>
        <v>#REF!</v>
      </c>
      <c r="F55" s="111" t="e">
        <f>IF(A56&lt;&gt;"",COUNTIFS(デモトレ履歴!$M$3:$M$30,"win",デモトレ履歴!$R$3:$R$30,"&lt;"&amp;IF(A56&lt;&gt;"",A56,DATE(YEAR(A55),MONTH(A55),DAY(EOMONTH(A55,0)))))-SUM($F$46:$F54),0)</f>
        <v>#REF!</v>
      </c>
      <c r="G55" s="111" t="e">
        <f>IF(A56&lt;&gt;"",COUNTIFS(デモトレ履歴!$M$3:$M$30,"loss",デモトレ履歴!$R$3:$R$30,"&lt;"&amp;IF(A56&lt;&gt;"",A56,DATE(YEAR(A55),MONTH(A55),DAY(EOMONTH(A55,0)))))-SUM($G$46:$G54),0)</f>
        <v>#REF!</v>
      </c>
      <c r="H55" s="111">
        <f>COUNTIFS(デモトレ履歴!$M$3:$M$30,"drw",デモトレ履歴!$R$3:$R$30,"&lt;"&amp;IF(A56&lt;&gt;"",A56,DATE(YEAR(A55),MONTH(A55),DAY(EOMONTH(A55,0)))))-SUM($H$46:$H54)</f>
        <v>0</v>
      </c>
      <c r="I55" s="147" t="e">
        <f t="shared" si="14"/>
        <v>#REF!</v>
      </c>
      <c r="J55" s="148" t="e">
        <f t="shared" si="9"/>
        <v>#REF!</v>
      </c>
      <c r="K55" s="148" t="e">
        <f t="shared" si="10"/>
        <v>#REF!</v>
      </c>
      <c r="L55" s="111" t="e">
        <f t="shared" si="15"/>
        <v>#REF!</v>
      </c>
      <c r="M55" s="111" t="e">
        <f t="shared" si="11"/>
        <v>#REF!</v>
      </c>
      <c r="N55" s="111" t="e">
        <f>IF(E55&gt;0,SUMIFS(デモトレ履歴!$P$3:$P$30,デモトレ履歴!$M$3:$M$30,"drw",デモトレ履歴!$R$3:$R$30,"&lt;"&amp;IF(A56&lt;&gt;"",A56,DATE(YEAR(A55),MONTH(A55),DAY(EOMONTH(A55,0)))))-SUM($C$46:$C54),0)</f>
        <v>#REF!</v>
      </c>
      <c r="O55" s="148" t="e">
        <f t="shared" si="12"/>
        <v>#REF!</v>
      </c>
    </row>
    <row r="56" spans="1:15">
      <c r="A56" s="146" t="e">
        <f t="shared" si="13"/>
        <v>#REF!</v>
      </c>
      <c r="B56" s="111" t="e">
        <f>IF(E56&gt;0,SUMIFS(デモトレ履歴!$P$3:$P$30,デモトレ履歴!$M$3:$M$30,"win",デモトレ履歴!$R$3:$R35,"&lt;"&amp;IF(A57&lt;&gt;"",A57,DATE(YEAR(A56),MONTH(A56),DAY(EOMONTH(A56,0)))))-SUM($B$44:$B55),0)</f>
        <v>#REF!</v>
      </c>
      <c r="C56" s="111" t="e">
        <f>IF(E56&gt;0,SUMIFS(デモトレ履歴!$P$3:$P$30,デモトレ履歴!$M$3:$M$30,"loss",デモトレ履歴!$R$3:$R$30,"&lt;"&amp;IF(A57&lt;&gt;"",A57,DATE(YEAR(A56),MONTH(A56),DAY(EOMONTH(A56,0)))))-SUM($C$46:$C55),0)</f>
        <v>#REF!</v>
      </c>
      <c r="D56" s="111" t="e">
        <f t="shared" si="8"/>
        <v>#REF!</v>
      </c>
      <c r="E56" s="111" t="e">
        <f>IF(A56&lt;&gt;"",COUNTIF(デモトレ履歴!$R$3:$R$30,"&lt;"&amp;IF(A57&lt;&gt;"",A57,DATE(YEAR(A56),MONTH(A56),DAY(EOMONTH(A56,0)))))-SUM($E$46:$E55),0)</f>
        <v>#REF!</v>
      </c>
      <c r="F56" s="111" t="e">
        <f>IF(A57&lt;&gt;"",COUNTIFS(デモトレ履歴!$M$3:$M$30,"win",デモトレ履歴!$R$3:$R$30,"&lt;"&amp;IF(A57&lt;&gt;"",A57,DATE(YEAR(A56),MONTH(A56),DAY(EOMONTH(A56,0)))))-SUM($F$46:$F55),0)</f>
        <v>#REF!</v>
      </c>
      <c r="G56" s="111" t="e">
        <f>IF(A57&lt;&gt;"",COUNTIFS(デモトレ履歴!$M$3:$M$30,"loss",デモトレ履歴!$R$3:$R$30,"&lt;"&amp;IF(A57&lt;&gt;"",A57,DATE(YEAR(A56),MONTH(A56),DAY(EOMONTH(A56,0)))))-SUM($G$46:$G55),0)</f>
        <v>#REF!</v>
      </c>
      <c r="H56" s="111">
        <f>COUNTIFS(デモトレ履歴!$M$3:$M$30,"drw",デモトレ履歴!$R$3:$R$30,"&lt;"&amp;IF(A57&lt;&gt;"",A57,DATE(YEAR(A56),MONTH(A56),DAY(EOMONTH(A56,0)))))-SUM($H$46:$H55)</f>
        <v>0</v>
      </c>
      <c r="I56" s="147" t="e">
        <f t="shared" si="14"/>
        <v>#REF!</v>
      </c>
      <c r="J56" s="148" t="e">
        <f t="shared" si="9"/>
        <v>#REF!</v>
      </c>
      <c r="K56" s="148" t="e">
        <f t="shared" si="10"/>
        <v>#REF!</v>
      </c>
      <c r="L56" s="111" t="e">
        <f t="shared" si="15"/>
        <v>#REF!</v>
      </c>
      <c r="M56" s="111" t="e">
        <f t="shared" si="11"/>
        <v>#REF!</v>
      </c>
      <c r="N56" s="111" t="e">
        <f>IF(E56&gt;0,SUMIFS(デモトレ履歴!$P$3:$P$30,デモトレ履歴!$M$3:$M$30,"drw",デモトレ履歴!$R$3:$R$30,"&lt;"&amp;IF(A57&lt;&gt;"",A57,DATE(YEAR(A56),MONTH(A56),DAY(EOMONTH(A56,0)))))-SUM($C$46:$C55),0)</f>
        <v>#REF!</v>
      </c>
      <c r="O56" s="148" t="e">
        <f t="shared" si="12"/>
        <v>#REF!</v>
      </c>
    </row>
    <row r="57" spans="1:15">
      <c r="A57" s="146" t="e">
        <f t="shared" si="13"/>
        <v>#REF!</v>
      </c>
      <c r="B57" s="111" t="e">
        <f>IF(E57&gt;0,SUMIFS(デモトレ履歴!$P$3:$P$30,デモトレ履歴!$M$3:$M$30,"win",デモトレ履歴!$R$3:$R36,"&lt;"&amp;IF(A58&lt;&gt;"",A58,DATE(YEAR(A57),MONTH(A57),DAY(EOMONTH(A57,0)))))-SUM($B$44:$B56),0)</f>
        <v>#REF!</v>
      </c>
      <c r="C57" s="111" t="e">
        <f>IF(E57&gt;0,SUMIFS(デモトレ履歴!$P$3:$P$30,デモトレ履歴!$M$3:$M$30,"loss",デモトレ履歴!$R$3:$R$30,"&lt;"&amp;IF(A58&lt;&gt;"",A58,DATE(YEAR(A57),MONTH(A57),DAY(EOMONTH(A57,0)))))-SUM($C$46:$C56),0)</f>
        <v>#REF!</v>
      </c>
      <c r="D57" s="111" t="e">
        <f t="shared" si="8"/>
        <v>#REF!</v>
      </c>
      <c r="E57" s="111" t="e">
        <f>IF(A57&lt;&gt;"",COUNTIF(デモトレ履歴!$R$3:$R$30,"&lt;"&amp;IF(A58&lt;&gt;"",A58,DATE(YEAR(A57),MONTH(A57),DAY(EOMONTH(A57,0)))))-SUM($E$46:$E56),0)</f>
        <v>#REF!</v>
      </c>
      <c r="F57" s="111" t="e">
        <f>IF(A58&lt;&gt;"",COUNTIFS(デモトレ履歴!$M$3:$M$30,"win",デモトレ履歴!$R$3:$R$30,"&lt;"&amp;IF(A58&lt;&gt;"",A58,DATE(YEAR(A57),MONTH(A57),DAY(EOMONTH(A57,0)))))-SUM($F$46:$F56),0)</f>
        <v>#REF!</v>
      </c>
      <c r="G57" s="111" t="e">
        <f>IF(A58&lt;&gt;"",COUNTIFS(デモトレ履歴!$M$3:$M$30,"loss",デモトレ履歴!$R$3:$R$30,"&lt;"&amp;IF(A58&lt;&gt;"",A58,DATE(YEAR(A57),MONTH(A57),DAY(EOMONTH(A57,0)))))-SUM($G$46:$G56),0)</f>
        <v>#REF!</v>
      </c>
      <c r="H57" s="111">
        <f>COUNTIFS(デモトレ履歴!$M$3:$M$30,"drw",デモトレ履歴!$R$3:$R$30,"&lt;"&amp;IF(A58&lt;&gt;"",A58,DATE(YEAR(A57),MONTH(A57),DAY(EOMONTH(A57,0)))))-SUM($H$46:$H56)</f>
        <v>0</v>
      </c>
      <c r="I57" s="147" t="e">
        <f t="shared" si="14"/>
        <v>#REF!</v>
      </c>
      <c r="J57" s="148" t="e">
        <f t="shared" si="9"/>
        <v>#REF!</v>
      </c>
      <c r="K57" s="148" t="e">
        <f t="shared" si="10"/>
        <v>#REF!</v>
      </c>
      <c r="L57" s="111" t="e">
        <f t="shared" si="15"/>
        <v>#REF!</v>
      </c>
      <c r="M57" s="111" t="e">
        <f t="shared" si="11"/>
        <v>#REF!</v>
      </c>
      <c r="N57" s="111" t="e">
        <f>IF(E57&gt;0,SUMIFS(デモトレ履歴!$P$3:$P$30,デモトレ履歴!$M$3:$M$30,"drw",デモトレ履歴!$R$3:$R$30,"&lt;"&amp;IF(A58&lt;&gt;"",A58,DATE(YEAR(A57),MONTH(A57),DAY(EOMONTH(A57,0)))))-SUM($C$46:$C56),0)</f>
        <v>#REF!</v>
      </c>
      <c r="O57" s="148" t="e">
        <f t="shared" si="12"/>
        <v>#REF!</v>
      </c>
    </row>
    <row r="58" spans="1:15">
      <c r="A58" s="146" t="e">
        <f t="shared" si="13"/>
        <v>#REF!</v>
      </c>
      <c r="B58" s="111" t="e">
        <f>IF(E58&gt;0,SUMIFS(デモトレ履歴!$P$3:$P$30,デモトレ履歴!$M$3:$M$30,"win",デモトレ履歴!$R$3:$R37,"&lt;"&amp;IF(A59&lt;&gt;"",A59,DATE(YEAR(A58),MONTH(A58),DAY(EOMONTH(A58,0)))))-SUM($B$44:$B57),0)</f>
        <v>#REF!</v>
      </c>
      <c r="C58" s="111" t="e">
        <f>IF(E58&gt;0,SUMIFS(デモトレ履歴!$P$3:$P$30,デモトレ履歴!$M$3:$M$30,"loss",デモトレ履歴!$R$3:$R$30,"&lt;"&amp;IF(A59&lt;&gt;"",A59,DATE(YEAR(A58),MONTH(A58),DAY(EOMONTH(A58,0)))))-SUM($C$46:$C57),0)</f>
        <v>#REF!</v>
      </c>
      <c r="D58" s="111" t="e">
        <f t="shared" si="8"/>
        <v>#REF!</v>
      </c>
      <c r="E58" s="111" t="e">
        <f>IF(A58&lt;&gt;"",COUNTIF(デモトレ履歴!$R$3:$R$30,"&lt;"&amp;IF(A59&lt;&gt;"",A59,DATE(YEAR(A58),MONTH(A58),DAY(EOMONTH(A58,0)))))-SUM($E$46:$E57),0)</f>
        <v>#REF!</v>
      </c>
      <c r="F58" s="111" t="e">
        <f>IF(A59&lt;&gt;"",COUNTIFS(デモトレ履歴!$M$3:$M$30,"win",デモトレ履歴!$R$3:$R$30,"&lt;"&amp;IF(A59&lt;&gt;"",A59,DATE(YEAR(A58),MONTH(A58),DAY(EOMONTH(A58,0)))))-SUM($F$46:$F57),0)</f>
        <v>#REF!</v>
      </c>
      <c r="G58" s="111" t="e">
        <f>IF(A59&lt;&gt;"",COUNTIFS(デモトレ履歴!$M$3:$M$30,"loss",デモトレ履歴!$R$3:$R$30,"&lt;"&amp;IF(A59&lt;&gt;"",A59,DATE(YEAR(A58),MONTH(A58),DAY(EOMONTH(A58,0)))))-SUM($G$46:$G57),0)</f>
        <v>#REF!</v>
      </c>
      <c r="H58" s="111">
        <f>COUNTIFS(デモトレ履歴!$M$3:$M$30,"drw",デモトレ履歴!$R$3:$R$30,"&lt;"&amp;IF(A59&lt;&gt;"",A59,DATE(YEAR(A58),MONTH(A58),DAY(EOMONTH(A58,0)))))-SUM($H$46:$H57)</f>
        <v>0</v>
      </c>
      <c r="I58" s="147" t="e">
        <f t="shared" si="14"/>
        <v>#REF!</v>
      </c>
      <c r="J58" s="148" t="e">
        <f t="shared" si="9"/>
        <v>#REF!</v>
      </c>
      <c r="K58" s="148" t="e">
        <f t="shared" si="10"/>
        <v>#REF!</v>
      </c>
      <c r="L58" s="111" t="e">
        <f t="shared" si="15"/>
        <v>#REF!</v>
      </c>
      <c r="M58" s="111" t="e">
        <f t="shared" si="11"/>
        <v>#REF!</v>
      </c>
      <c r="N58" s="111" t="e">
        <f>IF(E58&gt;0,SUMIFS(デモトレ履歴!$P$3:$P$30,デモトレ履歴!$M$3:$M$30,"drw",デモトレ履歴!$R$3:$R$30,"&lt;"&amp;IF(A59&lt;&gt;"",A59,DATE(YEAR(A58),MONTH(A58),DAY(EOMONTH(A58,0)))))-SUM($C$46:$C57),0)</f>
        <v>#REF!</v>
      </c>
      <c r="O58" s="148" t="e">
        <f t="shared" si="12"/>
        <v>#REF!</v>
      </c>
    </row>
    <row r="59" spans="1:15">
      <c r="A59" s="146" t="e">
        <f t="shared" si="13"/>
        <v>#REF!</v>
      </c>
      <c r="B59" s="111" t="e">
        <f>IF(E59&gt;0,SUMIFS(デモトレ履歴!$P$3:$P$30,デモトレ履歴!$M$3:$M$30,"win",デモトレ履歴!$R$3:$R38,"&lt;"&amp;IF(A60&lt;&gt;"",A60,DATE(YEAR(A59),MONTH(A59),DAY(EOMONTH(A59,0)))))-SUM($B$44:$B58),0)</f>
        <v>#REF!</v>
      </c>
      <c r="C59" s="111" t="e">
        <f>IF(E59&gt;0,SUMIFS(デモトレ履歴!$P$3:$P$30,デモトレ履歴!$M$3:$M$30,"loss",デモトレ履歴!$R$3:$R$30,"&lt;"&amp;IF(A60&lt;&gt;"",A60,DATE(YEAR(A59),MONTH(A59),DAY(EOMONTH(A59,0)))))-SUM($C$46:$C58),0)</f>
        <v>#REF!</v>
      </c>
      <c r="D59" s="111" t="e">
        <f t="shared" si="8"/>
        <v>#REF!</v>
      </c>
      <c r="E59" s="111" t="e">
        <f>IF(A59&lt;&gt;"",COUNTIF(デモトレ履歴!$R$3:$R$30,"&lt;"&amp;IF(A60&lt;&gt;"",A60,DATE(YEAR(A59),MONTH(A59),DAY(EOMONTH(A59,0)))))-SUM($E$46:$E58),0)</f>
        <v>#REF!</v>
      </c>
      <c r="F59" s="111" t="e">
        <f>IF(A60&lt;&gt;"",COUNTIFS(デモトレ履歴!$M$3:$M$30,"win",デモトレ履歴!$R$3:$R$30,"&lt;"&amp;IF(A60&lt;&gt;"",A60,DATE(YEAR(A59),MONTH(A59),DAY(EOMONTH(A59,0)))))-SUM($F$46:$F58),0)</f>
        <v>#REF!</v>
      </c>
      <c r="G59" s="111" t="e">
        <f>IF(A60&lt;&gt;"",COUNTIFS(デモトレ履歴!$M$3:$M$30,"loss",デモトレ履歴!$R$3:$R$30,"&lt;"&amp;IF(A60&lt;&gt;"",A60,DATE(YEAR(A59),MONTH(A59),DAY(EOMONTH(A59,0)))))-SUM($G$46:$G58),0)</f>
        <v>#REF!</v>
      </c>
      <c r="H59" s="111">
        <f>COUNTIFS(デモトレ履歴!$M$3:$M$30,"drw",デモトレ履歴!$R$3:$R$30,"&lt;"&amp;IF(A60&lt;&gt;"",A60,DATE(YEAR(A59),MONTH(A59),DAY(EOMONTH(A59,0)))))-SUM($H$46:$H58)</f>
        <v>0</v>
      </c>
      <c r="I59" s="147" t="e">
        <f t="shared" si="14"/>
        <v>#REF!</v>
      </c>
      <c r="J59" s="148" t="e">
        <f t="shared" si="9"/>
        <v>#REF!</v>
      </c>
      <c r="K59" s="148" t="e">
        <f t="shared" si="10"/>
        <v>#REF!</v>
      </c>
      <c r="L59" s="111" t="e">
        <f t="shared" si="15"/>
        <v>#REF!</v>
      </c>
      <c r="M59" s="111" t="e">
        <f t="shared" si="11"/>
        <v>#REF!</v>
      </c>
      <c r="N59" s="111" t="e">
        <f>IF(E59&gt;0,SUMIFS(デモトレ履歴!$P$3:$P$30,デモトレ履歴!$M$3:$M$30,"drw",デモトレ履歴!$R$3:$R$30,"&lt;"&amp;IF(A60&lt;&gt;"",A60,DATE(YEAR(A59),MONTH(A59),DAY(EOMONTH(A59,0)))))-SUM($C$46:$C58),0)</f>
        <v>#REF!</v>
      </c>
      <c r="O59" s="148" t="e">
        <f t="shared" si="12"/>
        <v>#REF!</v>
      </c>
    </row>
    <row r="60" spans="1:15">
      <c r="A60" s="146" t="e">
        <f t="shared" si="13"/>
        <v>#REF!</v>
      </c>
      <c r="B60" s="111" t="e">
        <f>IF(E60&gt;0,SUMIFS(デモトレ履歴!$P$3:$P$30,デモトレ履歴!$M$3:$M$30,"win",デモトレ履歴!$R$3:$R39,"&lt;"&amp;IF(A61&lt;&gt;"",A61,DATE(YEAR(A60),MONTH(A60),DAY(EOMONTH(A60,0)))))-SUM($B$44:$B59),0)</f>
        <v>#REF!</v>
      </c>
      <c r="C60" s="111" t="e">
        <f>IF(E60&gt;0,SUMIFS(デモトレ履歴!$P$3:$P$30,デモトレ履歴!$M$3:$M$30,"loss",デモトレ履歴!$R$3:$R$30,"&lt;"&amp;IF(A61&lt;&gt;"",A61,DATE(YEAR(A60),MONTH(A60),DAY(EOMONTH(A60,0)))))-SUM($C$46:$C59),0)</f>
        <v>#REF!</v>
      </c>
      <c r="D60" s="111" t="e">
        <f t="shared" si="8"/>
        <v>#REF!</v>
      </c>
      <c r="E60" s="111" t="e">
        <f>IF(A60&lt;&gt;"",COUNTIF(デモトレ履歴!$R$3:$R$30,"&lt;"&amp;IF(A61&lt;&gt;"",A61,DATE(YEAR(A60),MONTH(A60),DAY(EOMONTH(A60,0)))))-SUM($E$46:$E59),0)</f>
        <v>#REF!</v>
      </c>
      <c r="F60" s="111" t="e">
        <f>IF(A61&lt;&gt;"",COUNTIFS(デモトレ履歴!$M$3:$M$30,"win",デモトレ履歴!$R$3:$R$30,"&lt;"&amp;IF(A61&lt;&gt;"",A61,DATE(YEAR(A60),MONTH(A60),DAY(EOMONTH(A60,0)))))-SUM($F$46:$F59),0)</f>
        <v>#REF!</v>
      </c>
      <c r="G60" s="111" t="e">
        <f>IF(A61&lt;&gt;"",COUNTIFS(デモトレ履歴!$M$3:$M$30,"loss",デモトレ履歴!$R$3:$R$30,"&lt;"&amp;IF(A61&lt;&gt;"",A61,DATE(YEAR(A60),MONTH(A60),DAY(EOMONTH(A60,0)))))-SUM($G$46:$G59),0)</f>
        <v>#REF!</v>
      </c>
      <c r="H60" s="111">
        <f>COUNTIFS(デモトレ履歴!$M$3:$M$30,"drw",デモトレ履歴!$R$3:$R$30,"&lt;"&amp;IF(A61&lt;&gt;"",A61,DATE(YEAR(A60),MONTH(A60),DAY(EOMONTH(A60,0)))))-SUM($H$46:$H59)</f>
        <v>0</v>
      </c>
      <c r="I60" s="147" t="e">
        <f t="shared" si="14"/>
        <v>#REF!</v>
      </c>
      <c r="J60" s="148" t="e">
        <f t="shared" si="9"/>
        <v>#REF!</v>
      </c>
      <c r="K60" s="148" t="e">
        <f t="shared" si="10"/>
        <v>#REF!</v>
      </c>
      <c r="L60" s="111" t="e">
        <f t="shared" si="15"/>
        <v>#REF!</v>
      </c>
      <c r="M60" s="111" t="e">
        <f t="shared" si="11"/>
        <v>#REF!</v>
      </c>
      <c r="N60" s="111" t="e">
        <f>IF(E60&gt;0,SUMIFS(デモトレ履歴!$P$3:$P$30,デモトレ履歴!$M$3:$M$30,"drw",デモトレ履歴!$R$3:$R$30,"&lt;"&amp;IF(A61&lt;&gt;"",A61,DATE(YEAR(A60),MONTH(A60),DAY(EOMONTH(A60,0)))))-SUM($C$46:$C59),0)</f>
        <v>#REF!</v>
      </c>
      <c r="O60" s="148" t="e">
        <f t="shared" si="12"/>
        <v>#REF!</v>
      </c>
    </row>
    <row r="61" spans="1:15">
      <c r="A61" s="146" t="e">
        <f t="shared" si="13"/>
        <v>#REF!</v>
      </c>
      <c r="B61" s="111" t="e">
        <f>IF(E61&gt;0,SUMIFS(デモトレ履歴!$P$3:$P$30,デモトレ履歴!$M$3:$M$30,"win",デモトレ履歴!$R$3:$R40,"&lt;"&amp;IF(A62&lt;&gt;"",A62,DATE(YEAR(A61),MONTH(A61),DAY(EOMONTH(A61,0)))))-SUM($B$44:$B60),0)</f>
        <v>#REF!</v>
      </c>
      <c r="C61" s="111" t="e">
        <f>IF(E61&gt;0,SUMIFS(デモトレ履歴!$P$3:$P$30,デモトレ履歴!$M$3:$M$30,"loss",デモトレ履歴!$R$3:$R$30,"&lt;"&amp;IF(A62&lt;&gt;"",A62,DATE(YEAR(A61),MONTH(A61),DAY(EOMONTH(A61,0)))))-SUM($C$46:$C60),0)</f>
        <v>#REF!</v>
      </c>
      <c r="D61" s="111" t="e">
        <f t="shared" si="8"/>
        <v>#REF!</v>
      </c>
      <c r="E61" s="111" t="e">
        <f>IF(A61&lt;&gt;"",COUNTIF(デモトレ履歴!$R$3:$R$30,"&lt;"&amp;IF(A62&lt;&gt;"",A62,DATE(YEAR(A61),MONTH(A61),DAY(EOMONTH(A61,0)))))-SUM($E$46:$E60),0)</f>
        <v>#REF!</v>
      </c>
      <c r="F61" s="111" t="e">
        <f>IF(A62&lt;&gt;"",COUNTIFS(デモトレ履歴!$M$3:$M$30,"win",デモトレ履歴!$R$3:$R$30,"&lt;"&amp;IF(A62&lt;&gt;"",A62,DATE(YEAR(A61),MONTH(A61),DAY(EOMONTH(A61,0)))))-SUM($F$46:$F60),0)</f>
        <v>#REF!</v>
      </c>
      <c r="G61" s="111" t="e">
        <f>IF(A62&lt;&gt;"",COUNTIFS(デモトレ履歴!$M$3:$M$30,"loss",デモトレ履歴!$R$3:$R$30,"&lt;"&amp;IF(A62&lt;&gt;"",A62,DATE(YEAR(A61),MONTH(A61),DAY(EOMONTH(A61,0)))))-SUM($G$46:$G60),0)</f>
        <v>#REF!</v>
      </c>
      <c r="H61" s="111">
        <f>COUNTIFS(デモトレ履歴!$M$3:$M$30,"drw",デモトレ履歴!$R$3:$R$30,"&lt;"&amp;IF(A62&lt;&gt;"",A62,DATE(YEAR(A61),MONTH(A61),DAY(EOMONTH(A61,0)))))-SUM($H$46:$H60)</f>
        <v>0</v>
      </c>
      <c r="I61" s="147" t="e">
        <f t="shared" si="14"/>
        <v>#REF!</v>
      </c>
      <c r="J61" s="148" t="e">
        <f t="shared" si="9"/>
        <v>#REF!</v>
      </c>
      <c r="K61" s="148" t="e">
        <f t="shared" si="10"/>
        <v>#REF!</v>
      </c>
      <c r="L61" s="111" t="e">
        <f t="shared" si="15"/>
        <v>#REF!</v>
      </c>
      <c r="M61" s="111" t="e">
        <f t="shared" si="11"/>
        <v>#REF!</v>
      </c>
      <c r="N61" s="111" t="e">
        <f>IF(E61&gt;0,SUMIFS(デモトレ履歴!$P$3:$P$30,デモトレ履歴!$M$3:$M$30,"drw",デモトレ履歴!$R$3:$R$30,"&lt;"&amp;IF(A62&lt;&gt;"",A62,DATE(YEAR(A61),MONTH(A61),DAY(EOMONTH(A61,0)))))-SUM($C$46:$C60),0)</f>
        <v>#REF!</v>
      </c>
      <c r="O61" s="148" t="e">
        <f t="shared" si="12"/>
        <v>#REF!</v>
      </c>
    </row>
    <row r="62" spans="1:15">
      <c r="A62" s="146" t="e">
        <f t="shared" si="13"/>
        <v>#REF!</v>
      </c>
      <c r="B62" s="111" t="e">
        <f>IF(E62&gt;0,SUMIFS(デモトレ履歴!$P$3:$P$30,デモトレ履歴!$M$3:$M$30,"win",デモトレ履歴!$R$3:$R41,"&lt;"&amp;IF(A63&lt;&gt;"",A63,DATE(YEAR(A62),MONTH(A62),DAY(EOMONTH(A62,0)))))-SUM($B$44:$B61),0)</f>
        <v>#REF!</v>
      </c>
      <c r="C62" s="111" t="e">
        <f>IF(E62&gt;0,SUMIFS(デモトレ履歴!$P$3:$P$30,デモトレ履歴!$M$3:$M$30,"loss",デモトレ履歴!$R$3:$R$30,"&lt;"&amp;IF(A63&lt;&gt;"",A63,DATE(YEAR(A62),MONTH(A62),DAY(EOMONTH(A62,0)))))-SUM($C$46:$C61),0)</f>
        <v>#REF!</v>
      </c>
      <c r="D62" s="111" t="e">
        <f t="shared" si="8"/>
        <v>#REF!</v>
      </c>
      <c r="E62" s="111" t="e">
        <f>IF(A62&lt;&gt;"",COUNTIF(デモトレ履歴!$R$3:$R$30,"&lt;"&amp;IF(A63&lt;&gt;"",A63,DATE(YEAR(A62),MONTH(A62),DAY(EOMONTH(A62,0)))))-SUM($E$46:$E61),0)</f>
        <v>#REF!</v>
      </c>
      <c r="F62" s="111" t="e">
        <f>IF(A63&lt;&gt;"",COUNTIFS(デモトレ履歴!$M$3:$M$30,"win",デモトレ履歴!$R$3:$R$30,"&lt;"&amp;IF(A63&lt;&gt;"",A63,DATE(YEAR(A62),MONTH(A62),DAY(EOMONTH(A62,0)))))-SUM($F$46:$F61),0)</f>
        <v>#REF!</v>
      </c>
      <c r="G62" s="111" t="e">
        <f>IF(A63&lt;&gt;"",COUNTIFS(デモトレ履歴!$M$3:$M$30,"loss",デモトレ履歴!$R$3:$R$30,"&lt;"&amp;IF(A63&lt;&gt;"",A63,DATE(YEAR(A62),MONTH(A62),DAY(EOMONTH(A62,0)))))-SUM($G$46:$G61),0)</f>
        <v>#REF!</v>
      </c>
      <c r="H62" s="111">
        <f>COUNTIFS(デモトレ履歴!$M$3:$M$30,"drw",デモトレ履歴!$R$3:$R$30,"&lt;"&amp;IF(A63&lt;&gt;"",A63,DATE(YEAR(A62),MONTH(A62),DAY(EOMONTH(A62,0)))))-SUM($H$46:$H61)</f>
        <v>0</v>
      </c>
      <c r="I62" s="147" t="e">
        <f t="shared" si="14"/>
        <v>#REF!</v>
      </c>
      <c r="J62" s="148" t="e">
        <f t="shared" si="9"/>
        <v>#REF!</v>
      </c>
      <c r="K62" s="148" t="e">
        <f t="shared" si="10"/>
        <v>#REF!</v>
      </c>
      <c r="L62" s="111" t="e">
        <f t="shared" si="15"/>
        <v>#REF!</v>
      </c>
      <c r="M62" s="111" t="e">
        <f t="shared" si="11"/>
        <v>#REF!</v>
      </c>
      <c r="N62" s="111" t="e">
        <f>IF(E62&gt;0,SUMIFS(デモトレ履歴!$P$3:$P$30,デモトレ履歴!$M$3:$M$30,"drw",デモトレ履歴!$R$3:$R$30,"&lt;"&amp;IF(A63&lt;&gt;"",A63,DATE(YEAR(A62),MONTH(A62),DAY(EOMONTH(A62,0)))))-SUM($C$46:$C61),0)</f>
        <v>#REF!</v>
      </c>
      <c r="O62" s="148" t="e">
        <f t="shared" si="12"/>
        <v>#REF!</v>
      </c>
    </row>
    <row r="63" spans="1:15">
      <c r="A63" s="146" t="e">
        <f t="shared" si="13"/>
        <v>#REF!</v>
      </c>
      <c r="B63" s="111" t="e">
        <f>IF(E63&gt;0,SUMIFS(デモトレ履歴!$P$3:$P$30,デモトレ履歴!$M$3:$M$30,"win",デモトレ履歴!$R$3:$R42,"&lt;"&amp;IF(A64&lt;&gt;"",A64,DATE(YEAR(A63),MONTH(A63),DAY(EOMONTH(A63,0)))))-SUM($B$44:$B62),0)</f>
        <v>#REF!</v>
      </c>
      <c r="C63" s="111" t="e">
        <f>IF(E63&gt;0,SUMIFS(デモトレ履歴!$P$3:$P$30,デモトレ履歴!$M$3:$M$30,"loss",デモトレ履歴!$R$3:$R$30,"&lt;"&amp;IF(A64&lt;&gt;"",A64,DATE(YEAR(A63),MONTH(A63),DAY(EOMONTH(A63,0)))))-SUM($C$46:$C62),0)</f>
        <v>#REF!</v>
      </c>
      <c r="D63" s="111" t="e">
        <f t="shared" si="8"/>
        <v>#REF!</v>
      </c>
      <c r="E63" s="111" t="e">
        <f>IF(A63&lt;&gt;"",COUNTIF(デモトレ履歴!$R$3:$R$30,"&lt;"&amp;IF(A64&lt;&gt;"",A64,DATE(YEAR(A63),MONTH(A63),DAY(EOMONTH(A63,0)))))-SUM($E$46:$E62),0)</f>
        <v>#REF!</v>
      </c>
      <c r="F63" s="111">
        <f>IF(A64&lt;&gt;"",COUNTIFS(デモトレ履歴!$M$3:$M$30,"win",デモトレ履歴!$R$3:$R$30,"&lt;"&amp;IF(A64&lt;&gt;"",A64,DATE(YEAR(A63),MONTH(A63),DAY(EOMONTH(A63,0)))))-SUM($F$46:$F62),0)</f>
        <v>0</v>
      </c>
      <c r="G63" s="111">
        <f>IF(A64&lt;&gt;"",COUNTIFS(デモトレ履歴!$M$3:$M$30,"loss",デモトレ履歴!$R$3:$R$30,"&lt;"&amp;IF(A64&lt;&gt;"",A64,DATE(YEAR(A63),MONTH(A63),DAY(EOMONTH(A63,0)))))-SUM($G$46:$G62),0)</f>
        <v>0</v>
      </c>
      <c r="H63" s="111">
        <f>COUNTIFS(デモトレ履歴!$M$3:$M$30,"drw",デモトレ履歴!$R$3:$R$30,"&lt;"&amp;IF(A64&lt;&gt;"",A64,DATE(YEAR(A63),MONTH(A63),DAY(EOMONTH(A63,0)))))-SUM($H$46:$H62)</f>
        <v>0</v>
      </c>
      <c r="I63" s="147" t="e">
        <f t="shared" si="14"/>
        <v>#REF!</v>
      </c>
      <c r="J63" s="148" t="e">
        <f t="shared" si="9"/>
        <v>#REF!</v>
      </c>
      <c r="K63" s="148" t="e">
        <f t="shared" si="10"/>
        <v>#REF!</v>
      </c>
      <c r="L63" s="111" t="e">
        <f t="shared" si="15"/>
        <v>#REF!</v>
      </c>
      <c r="M63" s="111" t="e">
        <f t="shared" si="11"/>
        <v>#REF!</v>
      </c>
      <c r="N63" s="111" t="e">
        <f>IF(E63&gt;0,SUMIFS(デモトレ履歴!$P$3:$P$30,デモトレ履歴!$M$3:$M$30,"drw",デモトレ履歴!$R$3:$R$30,"&lt;"&amp;IF(A64&lt;&gt;"",A64,DATE(YEAR(A63),MONTH(A63),DAY(EOMONTH(A63,0)))))-SUM($C$46:$C62),0)</f>
        <v>#REF!</v>
      </c>
      <c r="O63" s="148" t="e">
        <f t="shared" si="12"/>
        <v>#REF!</v>
      </c>
    </row>
    <row r="64" spans="1:15">
      <c r="A64" s="146"/>
      <c r="B64" s="111"/>
      <c r="C64" s="111"/>
      <c r="D64" s="111"/>
      <c r="E64" s="111"/>
      <c r="F64" s="111"/>
      <c r="G64" s="111"/>
      <c r="H64" s="111"/>
      <c r="I64" s="147"/>
      <c r="J64" s="111"/>
      <c r="K64" s="111"/>
      <c r="L64" s="111"/>
      <c r="M64" s="111"/>
      <c r="N64" s="148"/>
    </row>
    <row r="65" spans="1:14">
      <c r="A65" s="146"/>
      <c r="B65" s="111"/>
      <c r="C65" s="111"/>
      <c r="D65" s="111"/>
      <c r="E65" s="111"/>
      <c r="F65" s="111"/>
      <c r="G65" s="111"/>
      <c r="H65" s="111"/>
      <c r="I65" s="147"/>
      <c r="J65" s="111"/>
      <c r="K65" s="111"/>
      <c r="L65" s="111"/>
      <c r="M65" s="111"/>
      <c r="N65" s="148"/>
    </row>
    <row r="66" spans="1:14">
      <c r="A66" s="146"/>
      <c r="B66" s="111"/>
      <c r="C66" s="111"/>
      <c r="D66" s="111"/>
      <c r="E66" s="111"/>
      <c r="F66" s="111"/>
      <c r="G66" s="111"/>
      <c r="H66" s="111"/>
      <c r="I66" s="147"/>
      <c r="J66" s="111"/>
      <c r="K66" s="111"/>
      <c r="L66" s="111"/>
      <c r="M66" s="111"/>
      <c r="N66" s="148"/>
    </row>
    <row r="67" spans="1:14">
      <c r="A67" s="146"/>
      <c r="B67" s="111"/>
      <c r="C67" s="111"/>
      <c r="D67" s="111"/>
      <c r="E67" s="111"/>
      <c r="F67" s="111"/>
      <c r="G67" s="111"/>
      <c r="H67" s="111"/>
      <c r="I67" s="147"/>
      <c r="J67" s="111"/>
      <c r="K67" s="111"/>
      <c r="L67" s="111"/>
      <c r="M67" s="111"/>
      <c r="N67" s="148"/>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A91" sqref="A91"/>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131</v>
      </c>
    </row>
    <row r="63" spans="1:1">
      <c r="A63" s="10" t="s">
        <v>55</v>
      </c>
    </row>
    <row r="64" spans="1:1">
      <c r="A64" s="10" t="s">
        <v>132</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133</v>
      </c>
    </row>
    <row r="78" spans="1:1" ht="0.75" customHeight="1" thickBot="1">
      <c r="A78" s="16" t="s">
        <v>67</v>
      </c>
    </row>
    <row r="80" spans="1:1">
      <c r="A80" s="12" t="s">
        <v>126</v>
      </c>
    </row>
    <row r="81" spans="1:1" ht="17.25" customHeight="1">
      <c r="A81" s="6" t="s">
        <v>127</v>
      </c>
    </row>
    <row r="82" spans="1:1">
      <c r="A82" s="2" t="s">
        <v>128</v>
      </c>
    </row>
    <row r="83" spans="1:1">
      <c r="A83" s="2" t="s">
        <v>144</v>
      </c>
    </row>
    <row r="85" spans="1:1">
      <c r="A85" s="12" t="s">
        <v>146</v>
      </c>
    </row>
    <row r="86" spans="1:1">
      <c r="A86" s="2" t="s">
        <v>155</v>
      </c>
    </row>
    <row r="87" spans="1:1">
      <c r="A87" s="2" t="s">
        <v>152</v>
      </c>
    </row>
    <row r="88" spans="1:1">
      <c r="A88" s="2" t="s">
        <v>156</v>
      </c>
    </row>
    <row r="89" spans="1:1">
      <c r="A89" s="2" t="s">
        <v>147</v>
      </c>
    </row>
    <row r="90" spans="1:1">
      <c r="A90" s="2" t="s">
        <v>157</v>
      </c>
    </row>
    <row r="91" spans="1:1">
      <c r="A91" s="2" t="s">
        <v>151</v>
      </c>
    </row>
    <row r="92" spans="1:1" ht="27">
      <c r="A92" s="107" t="s">
        <v>148</v>
      </c>
    </row>
    <row r="93" spans="1:1">
      <c r="A93" s="2" t="s">
        <v>158</v>
      </c>
    </row>
    <row r="94" spans="1:1">
      <c r="A94" s="109" t="s">
        <v>153</v>
      </c>
    </row>
    <row r="96" spans="1:1">
      <c r="A96" s="152">
        <v>42296</v>
      </c>
    </row>
    <row r="97" spans="1:1">
      <c r="A97" s="2" t="s">
        <v>226</v>
      </c>
    </row>
    <row r="98" spans="1:1">
      <c r="A98" s="2" t="s">
        <v>227</v>
      </c>
    </row>
    <row r="99" spans="1:1">
      <c r="A99" s="2" t="s">
        <v>229</v>
      </c>
    </row>
    <row r="100" spans="1:1">
      <c r="A100" s="2" t="s">
        <v>230</v>
      </c>
    </row>
    <row r="102" spans="1:1">
      <c r="A102" s="152">
        <v>42303</v>
      </c>
    </row>
    <row r="103" spans="1:1" ht="0.75" customHeight="1">
      <c r="A103" s="2" t="s">
        <v>234</v>
      </c>
    </row>
    <row r="104" spans="1:1" ht="47.25" hidden="1" customHeight="1">
      <c r="A104" s="2" t="s">
        <v>235</v>
      </c>
    </row>
    <row r="105" spans="1:1" ht="40.5" hidden="1" customHeight="1">
      <c r="A105" s="2" t="s">
        <v>236</v>
      </c>
    </row>
    <row r="106" spans="1:1" ht="45.75" hidden="1" customHeight="1">
      <c r="A106" s="2" t="s">
        <v>231</v>
      </c>
    </row>
    <row r="107" spans="1:1" ht="58.5" hidden="1" customHeight="1">
      <c r="A107" s="2" t="s">
        <v>232</v>
      </c>
    </row>
    <row r="108" spans="1:1" ht="16.5" customHeight="1">
      <c r="A108" s="2" t="s">
        <v>244</v>
      </c>
    </row>
    <row r="109" spans="1:1" ht="16.5" customHeight="1">
      <c r="A109" s="2" t="s">
        <v>245</v>
      </c>
    </row>
    <row r="110" spans="1:1">
      <c r="A110" s="12" t="s">
        <v>243</v>
      </c>
    </row>
    <row r="111" spans="1:1">
      <c r="A111" s="12" t="s">
        <v>238</v>
      </c>
    </row>
    <row r="112" spans="1:1">
      <c r="A112" s="2" t="s">
        <v>237</v>
      </c>
    </row>
    <row r="113" spans="1:1">
      <c r="A113" s="2" t="s">
        <v>239</v>
      </c>
    </row>
    <row r="114" spans="1:1">
      <c r="A114" s="2" t="s">
        <v>240</v>
      </c>
    </row>
    <row r="115" spans="1:1">
      <c r="A115" s="2" t="s">
        <v>241</v>
      </c>
    </row>
    <row r="117" spans="1:1">
      <c r="A117" s="152">
        <v>42310</v>
      </c>
    </row>
    <row r="118" spans="1:1">
      <c r="A118" s="2" t="s">
        <v>246</v>
      </c>
    </row>
    <row r="119" spans="1:1">
      <c r="A119" s="2" t="s">
        <v>247</v>
      </c>
    </row>
    <row r="120" spans="1:1">
      <c r="A120" s="2" t="s">
        <v>248</v>
      </c>
    </row>
    <row r="121" spans="1:1">
      <c r="A121" s="155" t="s">
        <v>257</v>
      </c>
    </row>
    <row r="122" spans="1:1">
      <c r="A122" s="12" t="s">
        <v>249</v>
      </c>
    </row>
    <row r="123" spans="1:1">
      <c r="A123" s="2" t="s">
        <v>250</v>
      </c>
    </row>
    <row r="124" spans="1:1">
      <c r="A124" s="2" t="s">
        <v>251</v>
      </c>
    </row>
    <row r="125" spans="1:1">
      <c r="A125" s="2" t="s">
        <v>252</v>
      </c>
    </row>
    <row r="126" spans="1:1">
      <c r="A126" s="2" t="s">
        <v>254</v>
      </c>
    </row>
    <row r="127" spans="1:1">
      <c r="A127" s="2" t="s">
        <v>253</v>
      </c>
    </row>
    <row r="129" spans="1:1">
      <c r="A129" s="12" t="s">
        <v>256</v>
      </c>
    </row>
    <row r="130" spans="1:1">
      <c r="A130" s="2" t="s">
        <v>255</v>
      </c>
    </row>
    <row r="132" spans="1:1">
      <c r="A132" s="152">
        <v>42317</v>
      </c>
    </row>
    <row r="133" spans="1:1">
      <c r="A133" s="5" t="s">
        <v>258</v>
      </c>
    </row>
    <row r="134" spans="1:1" ht="31.5" customHeight="1">
      <c r="A134" s="6" t="s">
        <v>259</v>
      </c>
    </row>
    <row r="135" spans="1:1" ht="15.75" customHeight="1">
      <c r="A135" s="2" t="s">
        <v>264</v>
      </c>
    </row>
    <row r="136" spans="1:1" ht="47.25" customHeight="1">
      <c r="A136" s="6" t="s">
        <v>266</v>
      </c>
    </row>
    <row r="137" spans="1:1">
      <c r="A137" s="6" t="s">
        <v>265</v>
      </c>
    </row>
    <row r="138" spans="1:1" ht="27">
      <c r="A138" s="6" t="s">
        <v>260</v>
      </c>
    </row>
    <row r="140" spans="1:1">
      <c r="A140" s="2" t="s">
        <v>261</v>
      </c>
    </row>
    <row r="141" spans="1:1">
      <c r="A141" s="2" t="s">
        <v>262</v>
      </c>
    </row>
    <row r="142" spans="1:1">
      <c r="A142" s="2" t="s">
        <v>263</v>
      </c>
    </row>
    <row r="144" spans="1:1">
      <c r="A144" s="12" t="s">
        <v>268</v>
      </c>
    </row>
    <row r="145" spans="1:1">
      <c r="A145" s="2" t="s">
        <v>269</v>
      </c>
    </row>
    <row r="146" spans="1:1">
      <c r="A146" s="6" t="s">
        <v>271</v>
      </c>
    </row>
    <row r="147" spans="1:1">
      <c r="A147" s="2" t="s">
        <v>270</v>
      </c>
    </row>
    <row r="148" spans="1:1">
      <c r="A148" s="12" t="s">
        <v>274</v>
      </c>
    </row>
    <row r="149" spans="1:1">
      <c r="A149" s="2" t="s">
        <v>272</v>
      </c>
    </row>
    <row r="150" spans="1:1" ht="30" customHeight="1">
      <c r="A150" s="6" t="s">
        <v>273</v>
      </c>
    </row>
    <row r="152" spans="1:1">
      <c r="A152" s="12" t="s">
        <v>275</v>
      </c>
    </row>
    <row r="153" spans="1:1" s="157" customFormat="1">
      <c r="A153" s="156" t="s">
        <v>279</v>
      </c>
    </row>
    <row r="154" spans="1:1" s="157" customFormat="1">
      <c r="A154" s="2" t="s">
        <v>280</v>
      </c>
    </row>
    <row r="155" spans="1:1" s="157" customFormat="1">
      <c r="A155" s="2" t="s">
        <v>281</v>
      </c>
    </row>
    <row r="156" spans="1:1" s="157" customFormat="1">
      <c r="A156" s="6" t="s">
        <v>283</v>
      </c>
    </row>
    <row r="157" spans="1:1" s="157" customFormat="1" ht="17.25" customHeight="1">
      <c r="A157" s="12" t="s">
        <v>274</v>
      </c>
    </row>
    <row r="158" spans="1:1" s="157" customFormat="1" ht="33" customHeight="1">
      <c r="A158" s="8" t="s">
        <v>282</v>
      </c>
    </row>
    <row r="159" spans="1:1">
      <c r="A159" s="2" t="s">
        <v>276</v>
      </c>
    </row>
    <row r="160" spans="1:1">
      <c r="A160" s="2" t="s">
        <v>278</v>
      </c>
    </row>
    <row r="161" spans="1:1">
      <c r="A161" s="2" t="s">
        <v>277</v>
      </c>
    </row>
    <row r="163" spans="1:1">
      <c r="A163" s="12" t="s">
        <v>289</v>
      </c>
    </row>
    <row r="164" spans="1:1">
      <c r="A164" s="160" t="s">
        <v>290</v>
      </c>
    </row>
    <row r="165" spans="1:1">
      <c r="A165" s="160" t="s">
        <v>291</v>
      </c>
    </row>
    <row r="166" spans="1:1">
      <c r="A166" s="160" t="s">
        <v>293</v>
      </c>
    </row>
    <row r="167" spans="1:1">
      <c r="A167" s="160" t="s">
        <v>309</v>
      </c>
    </row>
    <row r="168" spans="1:1">
      <c r="A168" s="12" t="s">
        <v>296</v>
      </c>
    </row>
    <row r="169" spans="1:1">
      <c r="A169" s="12" t="s">
        <v>297</v>
      </c>
    </row>
    <row r="170" spans="1:1">
      <c r="A170" s="12" t="s">
        <v>301</v>
      </c>
    </row>
    <row r="171" spans="1:1" ht="30" customHeight="1">
      <c r="A171" s="8" t="s">
        <v>298</v>
      </c>
    </row>
    <row r="172" spans="1:1" ht="45.75" customHeight="1">
      <c r="A172" s="6" t="s">
        <v>300</v>
      </c>
    </row>
    <row r="173" spans="1:1" ht="18" customHeight="1">
      <c r="A173" s="2" t="s">
        <v>299</v>
      </c>
    </row>
    <row r="175" spans="1:1">
      <c r="A175" s="12" t="s">
        <v>302</v>
      </c>
    </row>
    <row r="176" spans="1:1">
      <c r="A176" s="156" t="s">
        <v>312</v>
      </c>
    </row>
    <row r="177" spans="1:1">
      <c r="A177" s="12" t="s">
        <v>310</v>
      </c>
    </row>
    <row r="178" spans="1:1">
      <c r="A178" s="2" t="s">
        <v>303</v>
      </c>
    </row>
    <row r="179" spans="1:1">
      <c r="A179" s="2" t="s">
        <v>304</v>
      </c>
    </row>
    <row r="180" spans="1:1">
      <c r="A180" s="2" t="s">
        <v>307</v>
      </c>
    </row>
    <row r="181" spans="1:1" s="99" customFormat="1">
      <c r="A181" s="12" t="s">
        <v>305</v>
      </c>
    </row>
    <row r="182" spans="1:1" s="99" customFormat="1">
      <c r="A182" s="12" t="s">
        <v>306</v>
      </c>
    </row>
    <row r="183" spans="1:1">
      <c r="A183" s="2" t="s">
        <v>308</v>
      </c>
    </row>
    <row r="187" spans="1:1">
      <c r="A187" s="12" t="s">
        <v>313</v>
      </c>
    </row>
    <row r="188" spans="1:1">
      <c r="A188" s="2" t="s">
        <v>319</v>
      </c>
    </row>
    <row r="189" spans="1:1" ht="48" customHeight="1">
      <c r="A189" s="6" t="s">
        <v>317</v>
      </c>
    </row>
    <row r="190" spans="1:1" ht="17.25" customHeight="1">
      <c r="A190" s="12" t="s">
        <v>315</v>
      </c>
    </row>
    <row r="191" spans="1:1" ht="15.75" customHeight="1">
      <c r="A191" s="12" t="s">
        <v>316</v>
      </c>
    </row>
    <row r="193" spans="1:1">
      <c r="A193" s="2" t="s">
        <v>321</v>
      </c>
    </row>
    <row r="194" spans="1:1">
      <c r="A194" s="2" t="s">
        <v>327</v>
      </c>
    </row>
    <row r="195" spans="1:1">
      <c r="A195" s="2" t="s">
        <v>324</v>
      </c>
    </row>
    <row r="196" spans="1:1">
      <c r="A196" s="2" t="s">
        <v>325</v>
      </c>
    </row>
    <row r="198" spans="1:1">
      <c r="A198" s="2" t="s">
        <v>322</v>
      </c>
    </row>
    <row r="199" spans="1:1">
      <c r="A199" s="2" t="s">
        <v>326</v>
      </c>
    </row>
    <row r="200" spans="1:1">
      <c r="A200" s="2" t="s">
        <v>323</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ルール＆合計</vt:lpstr>
      <vt:lpstr>デモトレ履歴</vt:lpstr>
      <vt:lpstr>画像01.11～</vt:lpstr>
      <vt:lpstr>気づき</vt:lpstr>
      <vt:lpstr>決まり事</vt:lpstr>
      <vt:lpstr>成績表</vt:lpstr>
      <vt:lpstr>画像01.04～</vt:lpstr>
      <vt:lpstr>気づき2015</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2016-01-17T13:46:39Z</dcterms:modified>
</cp:coreProperties>
</file>