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activeTab="2"/>
  </bookViews>
  <sheets>
    <sheet name="ルール＆合計" sheetId="3" r:id="rId1"/>
    <sheet name="デモトレ履歴" sheetId="2" r:id="rId2"/>
    <sheet name="画像3.7～" sheetId="30" r:id="rId3"/>
    <sheet name="画像2.29～" sheetId="29" r:id="rId4"/>
    <sheet name="気づき" sheetId="21" r:id="rId5"/>
    <sheet name="決まり事" sheetId="7" r:id="rId6"/>
    <sheet name="成績表" sheetId="9" r:id="rId7"/>
    <sheet name="気づき2015" sheetId="1" r:id="rId8"/>
    <sheet name="画像_原紙" sheetId="5" r:id="rId9"/>
  </sheets>
  <definedNames>
    <definedName name="_xlnm._FilterDatabase" localSheetId="1" hidden="1">デモトレ履歴!$A$1:$Q$105</definedName>
  </definedNames>
  <calcPr calcId="124519"/>
</workbook>
</file>

<file path=xl/calcChain.xml><?xml version="1.0" encoding="utf-8"?>
<calcChain xmlns="http://schemas.openxmlformats.org/spreadsheetml/2006/main">
  <c r="Q67" i="2"/>
  <c r="Q68" s="1"/>
  <c r="Q69" s="1"/>
  <c r="Q70" s="1"/>
  <c r="P65"/>
  <c r="Q61"/>
  <c r="Q63"/>
  <c r="Q64" s="1"/>
  <c r="Q62"/>
  <c r="C4" i="9"/>
  <c r="P29" i="2"/>
  <c r="P28"/>
  <c r="P23"/>
  <c r="P17"/>
  <c r="P8"/>
  <c r="P38"/>
  <c r="P44"/>
  <c r="P50"/>
  <c r="P58"/>
  <c r="Q4"/>
  <c r="Q5" s="1"/>
  <c r="Q6" s="1"/>
  <c r="Q7" s="1"/>
  <c r="Q10" s="1"/>
  <c r="Q11" s="1"/>
  <c r="Q12" s="1"/>
  <c r="Q13" s="1"/>
  <c r="Q14" s="1"/>
  <c r="Q15" s="1"/>
  <c r="Q16" s="1"/>
  <c r="Q19" s="1"/>
  <c r="Q20" s="1"/>
  <c r="Q21" s="1"/>
  <c r="Q22" s="1"/>
  <c r="Q25" s="1"/>
  <c r="Q26" s="1"/>
  <c r="Q27" s="1"/>
  <c r="Q32" s="1"/>
  <c r="Q33" s="1"/>
  <c r="Q34" s="1"/>
  <c r="Q35" s="1"/>
  <c r="Q36" s="1"/>
  <c r="Q37" s="1"/>
  <c r="Q40" s="1"/>
  <c r="Q41" s="1"/>
  <c r="Q42" s="1"/>
  <c r="Q43" s="1"/>
  <c r="Q46" s="1"/>
  <c r="Q47" s="1"/>
  <c r="Q48" s="1"/>
  <c r="Q49" s="1"/>
  <c r="Q52" s="1"/>
  <c r="Q53" s="1"/>
  <c r="Q54" s="1"/>
  <c r="Q55" s="1"/>
  <c r="Q56" s="1"/>
  <c r="Q57" s="1"/>
  <c r="G63" i="9" l="1"/>
  <c r="F63"/>
  <c r="A46"/>
  <c r="A47" l="1"/>
  <c r="N46" s="1"/>
  <c r="H46" l="1"/>
  <c r="B46"/>
  <c r="G46"/>
  <c r="F46"/>
  <c r="E46"/>
  <c r="C46"/>
  <c r="A48"/>
  <c r="N47" s="1"/>
  <c r="C47" l="1"/>
  <c r="G47"/>
  <c r="H47"/>
  <c r="F47"/>
  <c r="E47"/>
  <c r="J46"/>
  <c r="I46"/>
  <c r="K46"/>
  <c r="B47"/>
  <c r="D46"/>
  <c r="O46" s="1"/>
  <c r="M46"/>
  <c r="A49"/>
  <c r="L46" l="1"/>
  <c r="F48"/>
  <c r="H48"/>
  <c r="G48"/>
  <c r="E48"/>
  <c r="N48" s="1"/>
  <c r="I47"/>
  <c r="K47"/>
  <c r="A50"/>
  <c r="J47"/>
  <c r="D47"/>
  <c r="O47" s="1"/>
  <c r="M47"/>
  <c r="C48" l="1"/>
  <c r="H49"/>
  <c r="G49"/>
  <c r="A51"/>
  <c r="F49"/>
  <c r="E49"/>
  <c r="N49" s="1"/>
  <c r="I48"/>
  <c r="L47"/>
  <c r="G50" l="1"/>
  <c r="H50"/>
  <c r="F50"/>
  <c r="A52"/>
  <c r="E50"/>
  <c r="N50" s="1"/>
  <c r="B48"/>
  <c r="H51" l="1"/>
  <c r="G51"/>
  <c r="E51"/>
  <c r="N51" s="1"/>
  <c r="A53"/>
  <c r="F51"/>
  <c r="M48"/>
  <c r="J48"/>
  <c r="D48"/>
  <c r="O48" s="1"/>
  <c r="E52" l="1"/>
  <c r="N52" s="1"/>
  <c r="H52"/>
  <c r="G52"/>
  <c r="F52"/>
  <c r="A54"/>
  <c r="A55" l="1"/>
  <c r="H53"/>
  <c r="G53"/>
  <c r="F53"/>
  <c r="A56"/>
  <c r="E53"/>
  <c r="N53" s="1"/>
  <c r="B49"/>
  <c r="C49"/>
  <c r="K49" s="1"/>
  <c r="I49"/>
  <c r="F54" l="1"/>
  <c r="F55" s="1"/>
  <c r="H54"/>
  <c r="H55" s="1"/>
  <c r="G54"/>
  <c r="G55" s="1"/>
  <c r="E54"/>
  <c r="A57"/>
  <c r="J49"/>
  <c r="L49" s="1"/>
  <c r="D49"/>
  <c r="O49" s="1"/>
  <c r="M49"/>
  <c r="G56" l="1"/>
  <c r="E55"/>
  <c r="N55" s="1"/>
  <c r="N54"/>
  <c r="H56"/>
  <c r="F56"/>
  <c r="A58"/>
  <c r="H57" l="1"/>
  <c r="E56"/>
  <c r="N56" s="1"/>
  <c r="G57"/>
  <c r="A59"/>
  <c r="A60" s="1"/>
  <c r="F57"/>
  <c r="B52"/>
  <c r="I51"/>
  <c r="C51"/>
  <c r="K51" s="1"/>
  <c r="B51"/>
  <c r="I50"/>
  <c r="B50"/>
  <c r="C50"/>
  <c r="K50" s="1"/>
  <c r="F58" l="1"/>
  <c r="F59" s="1"/>
  <c r="A61"/>
  <c r="E57"/>
  <c r="N57" s="1"/>
  <c r="H58"/>
  <c r="H59" s="1"/>
  <c r="G58"/>
  <c r="G59" s="1"/>
  <c r="C52"/>
  <c r="K52" s="1"/>
  <c r="I52"/>
  <c r="J51"/>
  <c r="L51" s="1"/>
  <c r="M51"/>
  <c r="D51"/>
  <c r="J52"/>
  <c r="J50"/>
  <c r="L50" s="1"/>
  <c r="M50"/>
  <c r="D50"/>
  <c r="O50" s="1"/>
  <c r="O51" l="1"/>
  <c r="G60"/>
  <c r="H60"/>
  <c r="F60"/>
  <c r="A62"/>
  <c r="E58"/>
  <c r="L52"/>
  <c r="D52"/>
  <c r="C53"/>
  <c r="K53" s="1"/>
  <c r="I53"/>
  <c r="B53"/>
  <c r="B54"/>
  <c r="I54"/>
  <c r="C54"/>
  <c r="K54" s="1"/>
  <c r="M52"/>
  <c r="O52" l="1"/>
  <c r="G61"/>
  <c r="F61"/>
  <c r="A63"/>
  <c r="H61"/>
  <c r="N58"/>
  <c r="E59"/>
  <c r="N59" s="1"/>
  <c r="J53"/>
  <c r="L53" s="1"/>
  <c r="D53"/>
  <c r="M53"/>
  <c r="B56"/>
  <c r="I56"/>
  <c r="C56"/>
  <c r="K56" s="1"/>
  <c r="B55"/>
  <c r="I55"/>
  <c r="C55"/>
  <c r="K55" s="1"/>
  <c r="J54"/>
  <c r="L54" s="1"/>
  <c r="M54"/>
  <c r="D54"/>
  <c r="O53" l="1"/>
  <c r="O54" s="1"/>
  <c r="F62"/>
  <c r="G62"/>
  <c r="H62"/>
  <c r="H63" s="1"/>
  <c r="E60"/>
  <c r="J56"/>
  <c r="L56" s="1"/>
  <c r="D56"/>
  <c r="M56"/>
  <c r="D55"/>
  <c r="M55"/>
  <c r="J55"/>
  <c r="L55" s="1"/>
  <c r="I57"/>
  <c r="B57"/>
  <c r="C57"/>
  <c r="K57" s="1"/>
  <c r="O55" l="1"/>
  <c r="O56" s="1"/>
  <c r="E61"/>
  <c r="N60"/>
  <c r="C59"/>
  <c r="K59" s="1"/>
  <c r="I59"/>
  <c r="B59"/>
  <c r="J57"/>
  <c r="L57" s="1"/>
  <c r="M57"/>
  <c r="D57"/>
  <c r="I58"/>
  <c r="C58"/>
  <c r="K58" s="1"/>
  <c r="B58"/>
  <c r="O57" l="1"/>
  <c r="E62"/>
  <c r="N61"/>
  <c r="B61"/>
  <c r="C61"/>
  <c r="K61" s="1"/>
  <c r="I61"/>
  <c r="J58"/>
  <c r="L58" s="1"/>
  <c r="D58"/>
  <c r="M58"/>
  <c r="B60"/>
  <c r="I60"/>
  <c r="C60"/>
  <c r="K60" s="1"/>
  <c r="M59"/>
  <c r="D59"/>
  <c r="J59"/>
  <c r="L59" s="1"/>
  <c r="O58" l="1"/>
  <c r="O59" s="1"/>
  <c r="N62"/>
  <c r="E63"/>
  <c r="N63" s="1"/>
  <c r="M60"/>
  <c r="J60"/>
  <c r="L60" s="1"/>
  <c r="D60"/>
  <c r="C62"/>
  <c r="K62" s="1"/>
  <c r="B62"/>
  <c r="I62"/>
  <c r="M61"/>
  <c r="J61"/>
  <c r="L61" s="1"/>
  <c r="D61"/>
  <c r="O60" l="1"/>
  <c r="O61" s="1"/>
  <c r="I63"/>
  <c r="C63"/>
  <c r="K63" s="1"/>
  <c r="B63"/>
  <c r="D62"/>
  <c r="J62"/>
  <c r="L62" s="1"/>
  <c r="M62"/>
  <c r="D63" l="1"/>
  <c r="M63"/>
  <c r="J63"/>
  <c r="L63" s="1"/>
  <c r="O62"/>
  <c r="I36"/>
  <c r="H36"/>
  <c r="G36"/>
  <c r="I35"/>
  <c r="H35"/>
  <c r="G35"/>
  <c r="J35" s="1"/>
  <c r="I34"/>
  <c r="H34"/>
  <c r="G34"/>
  <c r="I33"/>
  <c r="H33"/>
  <c r="G33"/>
  <c r="I32"/>
  <c r="H32"/>
  <c r="G32"/>
  <c r="I31"/>
  <c r="H31"/>
  <c r="G31"/>
  <c r="I30"/>
  <c r="H30"/>
  <c r="G30"/>
  <c r="J30" s="1"/>
  <c r="I29"/>
  <c r="H29"/>
  <c r="G29"/>
  <c r="J29" s="1"/>
  <c r="I28"/>
  <c r="H28"/>
  <c r="G28"/>
  <c r="J28" s="1"/>
  <c r="I27"/>
  <c r="H27"/>
  <c r="G27"/>
  <c r="J27" s="1"/>
  <c r="I26"/>
  <c r="H26"/>
  <c r="G26"/>
  <c r="J26" s="1"/>
  <c r="I25"/>
  <c r="H25"/>
  <c r="G25"/>
  <c r="I24"/>
  <c r="H24"/>
  <c r="G24"/>
  <c r="J24" s="1"/>
  <c r="I23"/>
  <c r="H23"/>
  <c r="G23"/>
  <c r="J23" s="1"/>
  <c r="I22"/>
  <c r="H22"/>
  <c r="G22"/>
  <c r="I21"/>
  <c r="H21"/>
  <c r="G21"/>
  <c r="I20"/>
  <c r="H20"/>
  <c r="G20"/>
  <c r="I19"/>
  <c r="H19"/>
  <c r="G19"/>
  <c r="I18"/>
  <c r="H18"/>
  <c r="G18"/>
  <c r="J18" s="1"/>
  <c r="I17"/>
  <c r="H17"/>
  <c r="G17"/>
  <c r="I16"/>
  <c r="H16"/>
  <c r="G16"/>
  <c r="I15"/>
  <c r="H15"/>
  <c r="G15"/>
  <c r="I14"/>
  <c r="H14"/>
  <c r="G14"/>
  <c r="J14" s="1"/>
  <c r="I13"/>
  <c r="H13"/>
  <c r="G13"/>
  <c r="I12"/>
  <c r="H12"/>
  <c r="G12"/>
  <c r="I11"/>
  <c r="H11"/>
  <c r="G11"/>
  <c r="I10"/>
  <c r="H10"/>
  <c r="G10"/>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4"/>
  <c r="J10" l="1"/>
  <c r="J15"/>
  <c r="J9"/>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K137" i="2" l="1"/>
  <c r="O128"/>
  <c r="N128"/>
  <c r="M128"/>
  <c r="L19" i="9" l="1"/>
  <c r="L12" l="1"/>
  <c r="N33"/>
  <c r="K33"/>
  <c r="M33" s="1"/>
  <c r="L15" l="1"/>
  <c r="M15" s="1"/>
  <c r="N15"/>
  <c r="K13"/>
  <c r="M13" s="1"/>
  <c r="N13"/>
  <c r="K17" l="1"/>
  <c r="N24" l="1"/>
  <c r="L24"/>
  <c r="M24" s="1"/>
  <c r="L20"/>
  <c r="L21" l="1"/>
  <c r="K19" l="1"/>
  <c r="M19" s="1"/>
  <c r="N19"/>
  <c r="N20"/>
  <c r="K20"/>
  <c r="M20" s="1"/>
  <c r="K32" l="1"/>
  <c r="L14" l="1"/>
  <c r="M14" s="1"/>
  <c r="N14"/>
  <c r="L17"/>
  <c r="M17" s="1"/>
  <c r="N17"/>
  <c r="K12" l="1"/>
  <c r="N12"/>
  <c r="L16"/>
  <c r="N11"/>
  <c r="L11"/>
  <c r="M11" s="1"/>
  <c r="N27"/>
  <c r="L27"/>
  <c r="M27" s="1"/>
  <c r="K16" l="1"/>
  <c r="M16" s="1"/>
  <c r="N16"/>
  <c r="M12"/>
  <c r="N25"/>
  <c r="L25"/>
  <c r="M25" s="1"/>
  <c r="K22" l="1"/>
  <c r="M22" s="1"/>
  <c r="N22"/>
  <c r="K31" l="1"/>
  <c r="N21"/>
  <c r="K21"/>
  <c r="M21" l="1"/>
  <c r="L31" l="1"/>
  <c r="M31" s="1"/>
  <c r="N31"/>
  <c r="N10"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<sst xmlns="http://schemas.openxmlformats.org/spreadsheetml/2006/main" count="641" uniqueCount="547">
  <si>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</si>
  <si>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</si>
  <si>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</si>
  <si>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</si>
  <si>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</si>
  <si>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</si>
  <si>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</si>
  <si>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</si>
  <si>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</si>
  <si>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</si>
  <si>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</si>
  <si>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</si>
  <si>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</si>
  <si>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</si>
  <si>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</si>
  <si>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</si>
  <si>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</si>
  <si>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</si>
  <si>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</si>
  <si>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</si>
  <si>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</si>
  <si>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</si>
  <si>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</si>
  <si>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</si>
  <si>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</si>
  <si>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</si>
  <si>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</si>
  <si>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</si>
  <si>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</si>
  <si>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</si>
  <si>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</si>
  <si>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</si>
  <si>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</si>
  <si>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</si>
  <si>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</si>
  <si>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</si>
  <si>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</si>
  <si>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</si>
  <si>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</si>
  <si>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</si>
  <si>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</si>
  <si>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</si>
  <si>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</si>
  <si>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</si>
  <si>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</si>
  <si>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</si>
  <si>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</si>
  <si>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</si>
  <si>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</si>
  <si>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</si>
  <si>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</si>
  <si>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</si>
  <si>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</si>
  <si>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</si>
  <si>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</si>
  <si>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</si>
  <si>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</si>
  <si>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</si>
  <si>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</si>
  <si>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</si>
  <si>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</si>
  <si>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</si>
  <si>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</si>
  <si>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</si>
  <si>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</si>
  <si>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</si>
  <si>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</si>
  <si>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</si>
  <si>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</si>
  <si>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</si>
  <si>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</si>
  <si>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</si>
  <si>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</si>
  <si>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</si>
  <si>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</si>
  <si>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</si>
  <si>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</si>
  <si>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</si>
  <si>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</si>
  <si>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</si>
  <si>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</si>
  <si>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</si>
  <si>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</si>
  <si>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</si>
  <si>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</si>
  <si>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EURGBP</t>
    <phoneticPr fontId="2"/>
  </si>
  <si>
    <t>sell</t>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</si>
  <si>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</si>
  <si>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</si>
  <si>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</si>
  <si>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</si>
  <si>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</si>
  <si>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</si>
  <si>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</si>
  <si>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</si>
  <si>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</si>
  <si>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</si>
  <si>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</si>
  <si>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</si>
  <si>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</si>
  <si>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</si>
  <si>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</si>
  <si>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</si>
  <si>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</si>
  <si>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</si>
  <si>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</si>
  <si>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</si>
  <si>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</si>
  <si>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</si>
  <si>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</si>
  <si>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</si>
  <si>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</si>
  <si>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</si>
  <si>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</si>
  <si>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</si>
  <si>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</si>
  <si>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</si>
  <si>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</si>
  <si>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いろいろ</t>
    <phoneticPr fontId="2"/>
  </si>
  <si>
    <t>2015.08.17～</t>
    <phoneticPr fontId="2"/>
  </si>
  <si>
    <t>とりあえずデモトレやってみる。
初期資金１００万円、リスク３％、複利で運用</t>
    <rPh sb="16" eb="18">
      <t>ショキ</t>
    </rPh>
    <rPh sb="18" eb="20">
      <t>シキン</t>
    </rPh>
    <rPh sb="23" eb="24">
      <t>マン</t>
    </rPh>
    <rPh sb="24" eb="25">
      <t>エン</t>
    </rPh>
    <rPh sb="32" eb="34">
      <t>フクリ</t>
    </rPh>
    <rPh sb="35" eb="37">
      <t>ウンヨウ</t>
    </rPh>
    <phoneticPr fontId="2"/>
  </si>
  <si>
    <t>No.1の続き</t>
    <rPh sb="5" eb="6">
      <t>ツヅ</t>
    </rPh>
    <phoneticPr fontId="2"/>
  </si>
  <si>
    <t>2015.08.31～</t>
    <phoneticPr fontId="2"/>
  </si>
  <si>
    <r>
      <t>検証で成績が良かったルールを適用。</t>
    </r>
    <r>
      <rPr>
        <sz val="11"/>
        <color indexed="8"/>
        <rFont val="ＭＳ Ｐゴシック"/>
        <family val="3"/>
        <charset val="128"/>
      </rPr>
      <t xml:space="preserve">
・ダイバージェンスに仕掛け１，２を組み合わせる
・MACDが逆行・反転すれば条件解除。
・条件継続中は一度損切りしても再度仕掛け１，２が出れば再エントリーする
・初動時20pips利益が乗ればストップ建値移動
・トレーリングはEB、PB
・S/Lは１０pipsの余裕を見る←9/18追記：余裕とれてない
・チャートパターンも意識しながら進める
・FIBトレードも追加（9/14～）</t>
    </r>
    <rPh sb="0" eb="2">
      <t>ケンショウ</t>
    </rPh>
    <rPh sb="3" eb="5">
      <t>セイセキ</t>
    </rPh>
    <rPh sb="6" eb="7">
      <t>ヨ</t>
    </rPh>
    <rPh sb="14" eb="16">
      <t>テキヨウ</t>
    </rPh>
    <rPh sb="48" eb="50">
      <t>ギャッコウ</t>
    </rPh>
    <rPh sb="51" eb="53">
      <t>ハンテン</t>
    </rPh>
    <rPh sb="56" eb="58">
      <t>ジョウケン</t>
    </rPh>
    <rPh sb="58" eb="60">
      <t>カイジョ</t>
    </rPh>
    <rPh sb="63" eb="65">
      <t>ジョウケン</t>
    </rPh>
    <rPh sb="65" eb="68">
      <t>ケイゾクチュウ</t>
    </rPh>
    <rPh sb="69" eb="71">
      <t>イチド</t>
    </rPh>
    <rPh sb="71" eb="72">
      <t>ソン</t>
    </rPh>
    <rPh sb="72" eb="73">
      <t>ギ</t>
    </rPh>
    <rPh sb="77" eb="79">
      <t>サイド</t>
    </rPh>
    <rPh sb="79" eb="81">
      <t>シカ</t>
    </rPh>
    <rPh sb="86" eb="87">
      <t>デ</t>
    </rPh>
    <rPh sb="89" eb="90">
      <t>サイ</t>
    </rPh>
    <rPh sb="159" eb="161">
      <t>ツイキ</t>
    </rPh>
    <rPh sb="162" eb="164">
      <t>ヨユウ</t>
    </rPh>
    <rPh sb="199" eb="201">
      <t>ツイカ</t>
    </rPh>
    <phoneticPr fontId="2"/>
  </si>
  <si>
    <t>デモトレ通貨</t>
    <rPh sb="4" eb="6">
      <t>ツウカ</t>
    </rPh>
    <phoneticPr fontId="2"/>
  </si>
  <si>
    <t>2015.10.05～</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</si>
  <si>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</si>
  <si>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</si>
  <si>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</si>
  <si>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</si>
  <si>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</si>
  <si>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</si>
  <si>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</si>
  <si>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</si>
  <si>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</si>
  <si>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</si>
  <si>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</si>
  <si>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</si>
  <si>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</si>
  <si>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</si>
  <si>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</si>
  <si>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</si>
  <si>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</si>
  <si>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</si>
  <si>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○新手法（１．FIBトレード法が適用できる環境で　２．78.6まで戻った時に　３．D/J、チャートパターン等の根拠があればIN。ストップは０．００）
○FS
上記２つを主なトレードルールとして用いる。
・決済タイミングは基本はFIB38.2。リアルタイムで追える時はダウをメインにPB,EBでトレーリングして相場観を磨く。</t>
    <rPh sb="1" eb="2">
      <t>シン</t>
    </rPh>
    <rPh sb="2" eb="4">
      <t>シュホウ</t>
    </rPh>
    <rPh sb="14" eb="15">
      <t>ホウ</t>
    </rPh>
    <rPh sb="16" eb="18">
      <t>テキヨウ</t>
    </rPh>
    <rPh sb="21" eb="23">
      <t>カンキョウ</t>
    </rPh>
    <rPh sb="33" eb="34">
      <t>モド</t>
    </rPh>
    <rPh sb="36" eb="37">
      <t>トキ</t>
    </rPh>
    <rPh sb="53" eb="54">
      <t>ナド</t>
    </rPh>
    <rPh sb="55" eb="57">
      <t>コンキョ</t>
    </rPh>
    <rPh sb="79" eb="81">
      <t>ジョウキ</t>
    </rPh>
    <rPh sb="84" eb="85">
      <t>オモ</t>
    </rPh>
    <rPh sb="96" eb="97">
      <t>モチ</t>
    </rPh>
    <rPh sb="102" eb="104">
      <t>ケッサイ</t>
    </rPh>
    <rPh sb="110" eb="112">
      <t>キホン</t>
    </rPh>
    <rPh sb="128" eb="129">
      <t>オ</t>
    </rPh>
    <rPh sb="131" eb="132">
      <t>トキ</t>
    </rPh>
    <rPh sb="154" eb="157">
      <t>ソウバカン</t>
    </rPh>
    <rPh sb="158" eb="159">
      <t>ミガ</t>
    </rPh>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</si>
  <si>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</si>
  <si>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</si>
  <si>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</si>
  <si>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</si>
  <si>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</si>
  <si>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</si>
  <si>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</si>
  <si>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</si>
  <si>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</si>
  <si>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</si>
  <si>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</si>
  <si>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</si>
  <si>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</si>
  <si>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</si>
  <si>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</si>
  <si>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</si>
  <si>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</si>
  <si>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</si>
  <si>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</si>
  <si>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</si>
  <si>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</si>
  <si>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</si>
  <si>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5"/>
  </si>
  <si>
    <t>平均損失</t>
    <rPh sb="0" eb="2">
      <t>ヘイキン</t>
    </rPh>
    <rPh sb="2" eb="4">
      <t>ソンシツ</t>
    </rPh>
    <phoneticPr fontId="15"/>
  </si>
  <si>
    <t>ﾘｽｸ
ﾘﾜｰﾄﾞ
ﾚｼｵ</t>
    <phoneticPr fontId="15"/>
  </si>
  <si>
    <t>ﾌﾟﾛﾌｨｯﾄ
ﾌｧｸﾀｰ</t>
    <phoneticPr fontId="15"/>
  </si>
  <si>
    <t>合計</t>
    <rPh sb="0" eb="2">
      <t>ゴウケイ</t>
    </rPh>
    <phoneticPr fontId="15"/>
  </si>
  <si>
    <t>全通貨平均</t>
    <rPh sb="0" eb="1">
      <t>ゼン</t>
    </rPh>
    <rPh sb="1" eb="3">
      <t>ツウカ</t>
    </rPh>
    <rPh sb="3" eb="5">
      <t>ヘイキン</t>
    </rPh>
    <phoneticPr fontId="15"/>
  </si>
  <si>
    <t>全通貨ペア
平均勝率</t>
    <rPh sb="0" eb="1">
      <t>ゼン</t>
    </rPh>
    <rPh sb="1" eb="3">
      <t>ツウカ</t>
    </rPh>
    <rPh sb="6" eb="8">
      <t>ヘイキン</t>
    </rPh>
    <rPh sb="8" eb="10">
      <t>ショウリツ</t>
    </rPh>
    <phoneticPr fontId="15"/>
  </si>
  <si>
    <t>ﾘｽｸ
ﾘﾜｰﾄ
ﾞﾚｼｵ</t>
    <phoneticPr fontId="15"/>
  </si>
  <si>
    <t>トレード時勝率</t>
  </si>
  <si>
    <t>EURGBP</t>
  </si>
  <si>
    <t>USDJPY</t>
  </si>
  <si>
    <t>EURUSD</t>
  </si>
  <si>
    <t>AUDJPY</t>
  </si>
  <si>
    <t>CADJPY</t>
  </si>
  <si>
    <t>GBPJPY</t>
  </si>
  <si>
    <t>USDCAD</t>
  </si>
  <si>
    <t>USDCHF</t>
  </si>
  <si>
    <t>GBPUSD</t>
  </si>
  <si>
    <t>AUDUSD</t>
  </si>
  <si>
    <t>EURJPY</t>
  </si>
  <si>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</si>
  <si>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</si>
  <si>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</si>
  <si>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</si>
  <si>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</si>
  <si>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</si>
  <si>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</si>
  <si>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</si>
  <si>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</si>
  <si>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</si>
  <si>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</si>
  <si>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</si>
  <si>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</si>
  <si>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</si>
  <si>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</si>
  <si>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</si>
  <si>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</si>
  <si>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</si>
  <si>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</si>
  <si>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</si>
  <si>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</si>
  <si>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5"/>
  </si>
  <si>
    <t>集計</t>
    <rPh sb="0" eb="2">
      <t>シュウケイ</t>
    </rPh>
    <phoneticPr fontId="15"/>
  </si>
  <si>
    <t>利益合計</t>
    <rPh sb="0" eb="2">
      <t>リエキ</t>
    </rPh>
    <rPh sb="2" eb="4">
      <t>ゴウケイ</t>
    </rPh>
    <phoneticPr fontId="15"/>
  </si>
  <si>
    <t>損失合計</t>
    <rPh sb="0" eb="2">
      <t>ソンシツ</t>
    </rPh>
    <rPh sb="2" eb="4">
      <t>ゴウケイ</t>
    </rPh>
    <phoneticPr fontId="15"/>
  </si>
  <si>
    <t>損益</t>
    <rPh sb="0" eb="2">
      <t>ソンエキ</t>
    </rPh>
    <phoneticPr fontId="15"/>
  </si>
  <si>
    <t>注文総数
（取消含）</t>
    <rPh sb="0" eb="2">
      <t>チュウモン</t>
    </rPh>
    <rPh sb="2" eb="4">
      <t>ソウスウ</t>
    </rPh>
    <rPh sb="6" eb="7">
      <t>ト</t>
    </rPh>
    <rPh sb="7" eb="8">
      <t>ケ</t>
    </rPh>
    <rPh sb="8" eb="9">
      <t>フク</t>
    </rPh>
    <phoneticPr fontId="15"/>
  </si>
  <si>
    <t>勝ち数</t>
    <rPh sb="0" eb="1">
      <t>カ</t>
    </rPh>
    <rPh sb="2" eb="3">
      <t>スウ</t>
    </rPh>
    <phoneticPr fontId="15"/>
  </si>
  <si>
    <t>負け数</t>
    <rPh sb="0" eb="1">
      <t>マ</t>
    </rPh>
    <rPh sb="2" eb="3">
      <t>スウ</t>
    </rPh>
    <phoneticPr fontId="15"/>
  </si>
  <si>
    <t>引分数</t>
    <rPh sb="0" eb="2">
      <t>ヒキワケ</t>
    </rPh>
    <rPh sb="2" eb="3">
      <t>スウ</t>
    </rPh>
    <phoneticPr fontId="15"/>
  </si>
  <si>
    <t>勝率</t>
    <rPh sb="0" eb="2">
      <t>ショウリツ</t>
    </rPh>
    <phoneticPr fontId="15"/>
  </si>
  <si>
    <t>資金合計</t>
    <rPh sb="0" eb="2">
      <t>シキン</t>
    </rPh>
    <rPh sb="2" eb="4">
      <t>ゴウケイ</t>
    </rPh>
    <phoneticPr fontId="15"/>
  </si>
  <si>
    <t>初期資金額</t>
    <rPh sb="0" eb="2">
      <t>ショキ</t>
    </rPh>
    <rPh sb="2" eb="4">
      <t>シキン</t>
    </rPh>
    <rPh sb="4" eb="5">
      <t>ガク</t>
    </rPh>
    <phoneticPr fontId="15"/>
  </si>
  <si>
    <t>現在資金</t>
    <rPh sb="0" eb="2">
      <t>ゲンザイ</t>
    </rPh>
    <rPh sb="2" eb="4">
      <t>シキン</t>
    </rPh>
    <phoneticPr fontId="15"/>
  </si>
  <si>
    <t>開始日</t>
    <rPh sb="0" eb="3">
      <t>カイシビ</t>
    </rPh>
    <phoneticPr fontId="15"/>
  </si>
  <si>
    <t>資金と開始日</t>
    <rPh sb="0" eb="2">
      <t>シキン</t>
    </rPh>
    <rPh sb="3" eb="6">
      <t>カイシビ</t>
    </rPh>
    <phoneticPr fontId="15"/>
  </si>
  <si>
    <t>ﾘｽｸ
ﾘﾜｰﾄﾞ
ﾚｼｵ</t>
    <phoneticPr fontId="15"/>
  </si>
  <si>
    <t>ﾌﾟﾛﾌｨｯﾄ
ﾌｧｸﾀｰ</t>
    <phoneticPr fontId="15"/>
  </si>
  <si>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</si>
  <si>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</si>
  <si>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</si>
  <si>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</si>
  <si>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</si>
  <si>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</si>
  <si>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</si>
  <si>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</si>
  <si>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</si>
  <si>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</si>
  <si>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</si>
  <si>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</si>
  <si>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</si>
  <si>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</si>
  <si>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</si>
  <si>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</si>
  <si>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</si>
  <si>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</si>
  <si>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</si>
  <si>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自分の都合でS/Rを引かない</t>
    <rPh sb="0" eb="2">
      <t>ジブン</t>
    </rPh>
    <rPh sb="3" eb="5">
      <t>ツゴウ</t>
    </rPh>
    <rPh sb="10" eb="11">
      <t>ヒ</t>
    </rPh>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</si>
  <si>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</si>
  <si>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</si>
  <si>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</si>
  <si>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</si>
  <si>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</si>
  <si>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</si>
  <si>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</si>
  <si>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</si>
  <si>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</si>
  <si>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</si>
  <si>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</si>
  <si>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</si>
  <si>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</si>
  <si>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</si>
  <si>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</si>
  <si>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</si>
  <si>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</si>
  <si>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</si>
  <si>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</si>
  <si>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</si>
  <si>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基本は２回目のFSまで待つ！</t>
    <rPh sb="0" eb="2">
      <t>キホン</t>
    </rPh>
    <rPh sb="4" eb="6">
      <t>カイメ</t>
    </rPh>
    <rPh sb="11" eb="12">
      <t>マ</t>
    </rPh>
    <phoneticPr fontId="2"/>
  </si>
  <si>
    <t>2015.11.17</t>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</si>
  <si>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</si>
  <si>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</si>
  <si>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</si>
  <si>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</si>
  <si>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</si>
  <si>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</si>
  <si>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</si>
  <si>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</si>
  <si>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</si>
  <si>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</si>
  <si>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</si>
  <si>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</si>
  <si>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</si>
  <si>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</si>
  <si>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</si>
  <si>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</si>
  <si>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想定のトレードシナリオから外れた時点で決済する</t>
    <rPh sb="0" eb="2">
      <t>ソウテイ</t>
    </rPh>
    <rPh sb="13" eb="14">
      <t>ハズ</t>
    </rPh>
    <rPh sb="16" eb="18">
      <t>ジテン</t>
    </rPh>
    <rPh sb="19" eb="21">
      <t>ケッサイ</t>
    </rPh>
    <phoneticPr fontId="2"/>
  </si>
  <si>
    <r>
      <t xml:space="preserve">2015.11.16～
</t>
    </r>
    <r>
      <rPr>
        <sz val="11"/>
        <color theme="3" tint="0.39997558519241921"/>
        <rFont val="ＭＳ Ｐゴシック"/>
        <family val="3"/>
        <charset val="128"/>
      </rPr>
      <t>追記11.30～</t>
    </r>
    <rPh sb="12" eb="14">
      <t>ツイキ</t>
    </rPh>
    <phoneticPr fontId="2"/>
  </si>
  <si>
    <r>
      <t>・週足で引いたS/Rに当たる部分を基本１H足で見る　（15分足でないとFSを逃すこともあるが、まだフェイクを見破れないので諦める）
・原則２回目のFS（セカンドストライク）を狙う。一回目のFSの見極めが重要＝フェイクだけに戻りっぽかったら一回目と数える
・キレイなウェッジを伴ったFSであれば、１回目でも入る
・ヒゲだけ抜けたｗトップ（ボトム）にD/Jが伴った際は、２回目を待たずに入る
・２回目のFSに強いチャートパターンが出てる時は、1回目のFS条件を甘くして数に入れる
・ヒゲだけ抜けたｗトップ（ボトム）にD/Jが伴った際でも、S/Rを割っていなければスルー
・戻りのない相場でも、継続のチャートパターン（主にウェッジ等）が出てたら、逆方向へ抜けてもスルー
・FSの作り方が緩やか</t>
    </r>
    <r>
      <rPr>
        <sz val="11"/>
        <color theme="3" tint="0.39997558519241921"/>
        <rFont val="ＭＳ Ｐゴシック"/>
        <family val="3"/>
        <charset val="128"/>
      </rPr>
      <t>過ぎる</t>
    </r>
    <r>
      <rPr>
        <sz val="11"/>
        <color indexed="8"/>
        <rFont val="ＭＳ Ｐゴシック"/>
        <family val="3"/>
        <charset val="128"/>
      </rPr>
      <t xml:space="preserve">（上昇/下落角度が少ない）時は、FSと認識しない
・S/R抜けてもローソクの動きが上下に激しすぎたりして分かり難い時は、トレードしない
</t>
    </r>
    <r>
      <rPr>
        <sz val="11"/>
        <color theme="3" tint="0.39997558519241921"/>
        <rFont val="ＭＳ Ｐゴシック"/>
        <family val="3"/>
        <charset val="128"/>
      </rPr>
      <t>・決済タイミングはFIB38.2を基準として、手前で頭打ちが確認できれば決済。素直に38.2まで到達したらトレーリング実施。</t>
    </r>
    <rPh sb="343" eb="344">
      <t>ス</t>
    </rPh>
    <rPh sb="431" eb="433">
      <t>キジュン</t>
    </rPh>
    <rPh sb="437" eb="439">
      <t>テマエ</t>
    </rPh>
    <rPh sb="440" eb="442">
      <t>アタマウ</t>
    </rPh>
    <rPh sb="444" eb="446">
      <t>カクニン</t>
    </rPh>
    <rPh sb="450" eb="452">
      <t>ケッサイ</t>
    </rPh>
    <rPh sb="453" eb="455">
      <t>スナオ</t>
    </rPh>
    <rPh sb="462" eb="464">
      <t>トウタツ</t>
    </rPh>
    <rPh sb="473" eb="475">
      <t>ジッシ</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</si>
  <si>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</si>
  <si>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</si>
  <si>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</si>
  <si>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</si>
  <si>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</si>
  <si>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</si>
  <si>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</si>
  <si>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</si>
  <si>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</si>
  <si>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</si>
  <si>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</si>
  <si>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</si>
  <si>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</si>
  <si>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</si>
  <si>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</si>
  <si>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</si>
  <si>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</si>
  <si>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</si>
  <si>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</si>
  <si>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</si>
  <si>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</si>
  <si>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</si>
  <si>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</si>
  <si>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</si>
  <si>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</si>
  <si>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</si>
  <si>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</si>
  <si>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</si>
  <si>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</si>
  <si>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</si>
  <si>
    <t>sell</t>
    <phoneticPr fontId="2"/>
  </si>
  <si>
    <t>2015.12.21</t>
    <phoneticPr fontId="2"/>
  </si>
  <si>
    <t>2015.12.28</t>
    <phoneticPr fontId="2"/>
  </si>
  <si>
    <t>ウェッジブレイク後の戻りを狙うのが自分ルールだが、ウェッジブレイク前の上限から狙えそう→レッツ検証！</t>
    <rPh sb="8" eb="9">
      <t>ゴ</t>
    </rPh>
    <rPh sb="10" eb="11">
      <t>モド</t>
    </rPh>
    <rPh sb="13" eb="14">
      <t>ネラ</t>
    </rPh>
    <rPh sb="17" eb="19">
      <t>ジブン</t>
    </rPh>
    <rPh sb="33" eb="34">
      <t>マエ</t>
    </rPh>
    <rPh sb="35" eb="37">
      <t>ジョウゲン</t>
    </rPh>
    <rPh sb="39" eb="40">
      <t>ネラ</t>
    </rPh>
    <rPh sb="47" eb="49">
      <t>ケンショウ</t>
    </rPh>
    <phoneticPr fontId="2"/>
  </si>
  <si>
    <t>ルールに合わせたエントリーを心がけたつもりだが、まだ相場の見方が甘い。</t>
    <rPh sb="4" eb="5">
      <t>ア</t>
    </rPh>
    <rPh sb="14" eb="15">
      <t>ココロ</t>
    </rPh>
    <rPh sb="26" eb="28">
      <t>ソウバ</t>
    </rPh>
    <rPh sb="29" eb="31">
      <t>ミカタ</t>
    </rPh>
    <rPh sb="32" eb="33">
      <t>アマ</t>
    </rPh>
    <phoneticPr fontId="2"/>
  </si>
  <si>
    <t>唯一獲れる可能性があったトレードも、ストップ移動した所まで戻ってその後反転する毎度のパターンで建値決済。ムズカシイ。</t>
    <rPh sb="0" eb="2">
      <t>ユイイツ</t>
    </rPh>
    <rPh sb="2" eb="3">
      <t>ト</t>
    </rPh>
    <rPh sb="5" eb="8">
      <t>カノウセイ</t>
    </rPh>
    <rPh sb="22" eb="24">
      <t>イドウ</t>
    </rPh>
    <rPh sb="26" eb="27">
      <t>トコロ</t>
    </rPh>
    <rPh sb="29" eb="30">
      <t>モド</t>
    </rPh>
    <rPh sb="34" eb="35">
      <t>アト</t>
    </rPh>
    <rPh sb="35" eb="37">
      <t>ハンテン</t>
    </rPh>
    <rPh sb="39" eb="41">
      <t>マイド</t>
    </rPh>
    <rPh sb="47" eb="49">
      <t>タテネ</t>
    </rPh>
    <rPh sb="49" eb="51">
      <t>ケッサイ</t>
    </rPh>
    <phoneticPr fontId="2"/>
  </si>
  <si>
    <t>今週は3PORをデモトレにお試し導入（100回検証では成績良かった）→結果はみごと撃沈×　今回はD/Jの見落としが判明。</t>
    <rPh sb="0" eb="2">
      <t>コンシュウ</t>
    </rPh>
    <rPh sb="14" eb="15">
      <t>タメ</t>
    </rPh>
    <rPh sb="16" eb="18">
      <t>ドウニュウ</t>
    </rPh>
    <rPh sb="22" eb="23">
      <t>カイ</t>
    </rPh>
    <rPh sb="23" eb="25">
      <t>ケンショウ</t>
    </rPh>
    <rPh sb="27" eb="29">
      <t>セイセキ</t>
    </rPh>
    <rPh sb="29" eb="30">
      <t>ヨ</t>
    </rPh>
    <rPh sb="35" eb="37">
      <t>ケッカ</t>
    </rPh>
    <rPh sb="41" eb="43">
      <t>ゲキチン</t>
    </rPh>
    <rPh sb="45" eb="47">
      <t>コンカイ</t>
    </rPh>
    <rPh sb="52" eb="54">
      <t>ミオ</t>
    </rPh>
    <rPh sb="57" eb="59">
      <t>ハンメイ</t>
    </rPh>
    <phoneticPr fontId="2"/>
  </si>
  <si>
    <t>今週は体調不良もありエントリー少なめ（年末まで体調戻らずorz）。</t>
    <rPh sb="0" eb="2">
      <t>コンシュウ</t>
    </rPh>
    <rPh sb="3" eb="5">
      <t>タイチョウ</t>
    </rPh>
    <rPh sb="5" eb="7">
      <t>フリョウ</t>
    </rPh>
    <rPh sb="15" eb="16">
      <t>スク</t>
    </rPh>
    <rPh sb="19" eb="21">
      <t>ネンマツ</t>
    </rPh>
    <rPh sb="23" eb="25">
      <t>タイチョウ</t>
    </rPh>
    <rPh sb="25" eb="26">
      <t>モド</t>
    </rPh>
    <phoneticPr fontId="2"/>
  </si>
  <si>
    <t>2016年</t>
    <rPh sb="4" eb="5">
      <t>ネン</t>
    </rPh>
    <phoneticPr fontId="2"/>
  </si>
  <si>
    <t>AUDCAD</t>
    <phoneticPr fontId="2"/>
  </si>
  <si>
    <t>AUDUSD</t>
    <phoneticPr fontId="2"/>
  </si>
  <si>
    <t>EURUSD</t>
    <phoneticPr fontId="2"/>
  </si>
  <si>
    <t>buy</t>
    <phoneticPr fontId="2"/>
  </si>
  <si>
    <t>01.06.05</t>
    <phoneticPr fontId="2"/>
  </si>
  <si>
    <t>01.04.03</t>
    <phoneticPr fontId="2"/>
  </si>
  <si>
    <t>01.06.09</t>
    <phoneticPr fontId="2"/>
  </si>
  <si>
    <t>01.06.10</t>
    <phoneticPr fontId="2"/>
  </si>
  <si>
    <t>01.04.10</t>
    <phoneticPr fontId="2"/>
  </si>
  <si>
    <t>01.06.05</t>
    <phoneticPr fontId="2"/>
  </si>
  <si>
    <t>・IN後逆行してくる時は自分に合っていない相場</t>
    <rPh sb="3" eb="4">
      <t>ゴ</t>
    </rPh>
    <rPh sb="4" eb="6">
      <t>ギャッコウ</t>
    </rPh>
    <rPh sb="10" eb="11">
      <t>トキ</t>
    </rPh>
    <rPh sb="12" eb="14">
      <t>ジブン</t>
    </rPh>
    <rPh sb="15" eb="16">
      <t>ア</t>
    </rPh>
    <rPh sb="21" eb="23">
      <t>ソウバ</t>
    </rPh>
    <phoneticPr fontId="2"/>
  </si>
  <si>
    <t>・しっかり勝てる時はIN後逆行はまず無い</t>
    <rPh sb="5" eb="6">
      <t>カ</t>
    </rPh>
    <rPh sb="8" eb="9">
      <t>トキ</t>
    </rPh>
    <rPh sb="12" eb="13">
      <t>ゴ</t>
    </rPh>
    <rPh sb="13" eb="15">
      <t>ギャッコウ</t>
    </rPh>
    <rPh sb="18" eb="19">
      <t>ナシ</t>
    </rPh>
    <phoneticPr fontId="2"/>
  </si>
  <si>
    <t>・手早い撤退で、２連続で撤退したら、一旦相場から離れる</t>
    <rPh sb="1" eb="3">
      <t>テバヤ</t>
    </rPh>
    <rPh sb="4" eb="6">
      <t>テッタイ</t>
    </rPh>
    <rPh sb="9" eb="11">
      <t>レンゾク</t>
    </rPh>
    <rPh sb="12" eb="14">
      <t>テッタイ</t>
    </rPh>
    <rPh sb="18" eb="20">
      <t>イッタン</t>
    </rPh>
    <rPh sb="20" eb="22">
      <t>ソウバ</t>
    </rPh>
    <rPh sb="24" eb="25">
      <t>ハナ</t>
    </rPh>
    <phoneticPr fontId="2"/>
  </si>
  <si>
    <t>win</t>
    <phoneticPr fontId="2"/>
  </si>
  <si>
    <t>drw</t>
    <phoneticPr fontId="2"/>
  </si>
  <si>
    <t>loss</t>
    <phoneticPr fontId="2"/>
  </si>
  <si>
    <t>・IN判断を精査する時間が無い時はスルー！</t>
    <rPh sb="3" eb="5">
      <t>ハンダン</t>
    </rPh>
    <rPh sb="6" eb="8">
      <t>セイサ</t>
    </rPh>
    <rPh sb="10" eb="12">
      <t>ジカン</t>
    </rPh>
    <rPh sb="13" eb="14">
      <t>ナ</t>
    </rPh>
    <rPh sb="15" eb="16">
      <t>トキ</t>
    </rPh>
    <phoneticPr fontId="2"/>
  </si>
  <si>
    <t>USDCAD</t>
    <phoneticPr fontId="2"/>
  </si>
  <si>
    <t>sell</t>
    <phoneticPr fontId="2"/>
  </si>
  <si>
    <t>01.07.04</t>
    <phoneticPr fontId="2"/>
  </si>
  <si>
    <t>01.07.05</t>
    <phoneticPr fontId="2"/>
  </si>
  <si>
    <t>・１H足以下のH/Sはエントリーしない</t>
    <rPh sb="3" eb="4">
      <t>アシ</t>
    </rPh>
    <rPh sb="4" eb="6">
      <t>イカ</t>
    </rPh>
    <phoneticPr fontId="2"/>
  </si>
  <si>
    <t>今月は理想って言ってもらえたトレード法のみにする。</t>
    <rPh sb="0" eb="2">
      <t>コンゲツ</t>
    </rPh>
    <rPh sb="3" eb="5">
      <t>リソウ</t>
    </rPh>
    <rPh sb="7" eb="8">
      <t>イ</t>
    </rPh>
    <rPh sb="18" eb="19">
      <t>ホウ</t>
    </rPh>
    <phoneticPr fontId="2"/>
  </si>
  <si>
    <t>ドルカナダはレンジができた認識が遅い。レンジ後伸びかけて反転したら切る準備</t>
    <rPh sb="13" eb="15">
      <t>ニンシキ</t>
    </rPh>
    <rPh sb="16" eb="17">
      <t>オソ</t>
    </rPh>
    <rPh sb="22" eb="23">
      <t>ゴ</t>
    </rPh>
    <rPh sb="23" eb="24">
      <t>ノ</t>
    </rPh>
    <rPh sb="28" eb="30">
      <t>ハンテン</t>
    </rPh>
    <rPh sb="33" eb="34">
      <t>キ</t>
    </rPh>
    <rPh sb="35" eb="37">
      <t>ジュンビ</t>
    </rPh>
    <phoneticPr fontId="2"/>
  </si>
  <si>
    <t>ヒゲ対策５～７pips　了解！　もうストップ建値移動以降は動かさんとこかと思ったけど、それなら「俺ストップ」アリですよね！</t>
    <rPh sb="2" eb="4">
      <t>タイサク</t>
    </rPh>
    <rPh sb="12" eb="14">
      <t>リョウカイ</t>
    </rPh>
    <rPh sb="22" eb="24">
      <t>タテネ</t>
    </rPh>
    <rPh sb="24" eb="26">
      <t>イドウ</t>
    </rPh>
    <rPh sb="26" eb="28">
      <t>イコウ</t>
    </rPh>
    <rPh sb="29" eb="30">
      <t>ウゴ</t>
    </rPh>
    <rPh sb="37" eb="38">
      <t>オモ</t>
    </rPh>
    <rPh sb="48" eb="49">
      <t>オレ</t>
    </rPh>
    <phoneticPr fontId="2"/>
  </si>
  <si>
    <t>オージーカナダは…フラッグで継続のカタチになってますね××</t>
    <rPh sb="14" eb="16">
      <t>ケイゾク</t>
    </rPh>
    <phoneticPr fontId="2"/>
  </si>
  <si>
    <t>ドルカナダの３PORは下限側の３本目が正解でしたか。３PORって右下がりのチャネルなら下限狙い、右上がりのチャネルなら上限狙いみたいなルールもありましたっけ？</t>
    <rPh sb="11" eb="13">
      <t>カゲン</t>
    </rPh>
    <rPh sb="13" eb="14">
      <t>ガワ</t>
    </rPh>
    <rPh sb="16" eb="18">
      <t>ホンメ</t>
    </rPh>
    <rPh sb="19" eb="21">
      <t>セイカイ</t>
    </rPh>
    <rPh sb="32" eb="33">
      <t>ミギ</t>
    </rPh>
    <rPh sb="33" eb="34">
      <t>サ</t>
    </rPh>
    <rPh sb="43" eb="45">
      <t>カゲン</t>
    </rPh>
    <rPh sb="45" eb="46">
      <t>ネラ</t>
    </rPh>
    <rPh sb="48" eb="49">
      <t>ミギ</t>
    </rPh>
    <rPh sb="49" eb="50">
      <t>ア</t>
    </rPh>
    <rPh sb="59" eb="61">
      <t>ジョウゲン</t>
    </rPh>
    <rPh sb="61" eb="62">
      <t>ネラ</t>
    </rPh>
    <phoneticPr fontId="2"/>
  </si>
  <si>
    <t>NZDUSD</t>
    <phoneticPr fontId="2"/>
  </si>
  <si>
    <t>01.11.15</t>
    <phoneticPr fontId="2"/>
  </si>
  <si>
    <t>01.11.17</t>
    <phoneticPr fontId="2"/>
  </si>
  <si>
    <t>01.11.16</t>
    <phoneticPr fontId="2"/>
  </si>
  <si>
    <t>01.12.14</t>
    <phoneticPr fontId="2"/>
  </si>
  <si>
    <t>01.11～</t>
    <phoneticPr fontId="2"/>
  </si>
  <si>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t>
    <rPh sb="0" eb="2">
      <t>マイシュウ</t>
    </rPh>
    <rPh sb="2" eb="4">
      <t>シュウア</t>
    </rPh>
    <rPh sb="5" eb="7">
      <t>サイショ</t>
    </rPh>
    <rPh sb="8" eb="9">
      <t>カ</t>
    </rPh>
    <rPh sb="18" eb="19">
      <t>シュウ</t>
    </rPh>
    <rPh sb="20" eb="22">
      <t>ソウバ</t>
    </rPh>
    <rPh sb="23" eb="24">
      <t>ノ</t>
    </rPh>
    <rPh sb="26" eb="27">
      <t>サグ</t>
    </rPh>
    <rPh sb="28" eb="29">
      <t>タメ</t>
    </rPh>
    <rPh sb="32" eb="34">
      <t>チョッキン</t>
    </rPh>
    <rPh sb="49" eb="50">
      <t>ハヤ</t>
    </rPh>
    <rPh sb="52" eb="54">
      <t>リカク</t>
    </rPh>
    <rPh sb="60" eb="61">
      <t>アト</t>
    </rPh>
    <rPh sb="62" eb="63">
      <t>ナガ</t>
    </rPh>
    <rPh sb="65" eb="66">
      <t>ミ</t>
    </rPh>
    <rPh sb="68" eb="69">
      <t>ノ</t>
    </rPh>
    <rPh sb="75" eb="76">
      <t>ツギ</t>
    </rPh>
    <rPh sb="77" eb="78">
      <t>ノ</t>
    </rPh>
    <rPh sb="87" eb="88">
      <t>ハ</t>
    </rPh>
    <rPh sb="89" eb="90">
      <t>カエ</t>
    </rPh>
    <rPh sb="92" eb="94">
      <t>チョッキン</t>
    </rPh>
    <rPh sb="103" eb="105">
      <t>ケイゾク</t>
    </rPh>
    <phoneticPr fontId="2"/>
  </si>
  <si>
    <t>EURAUD</t>
    <phoneticPr fontId="2"/>
  </si>
  <si>
    <t>USDCHF</t>
    <phoneticPr fontId="2"/>
  </si>
  <si>
    <t>GBPJPY</t>
    <phoneticPr fontId="2"/>
  </si>
  <si>
    <t>buy</t>
    <phoneticPr fontId="2"/>
  </si>
  <si>
    <t>01.12.14</t>
    <phoneticPr fontId="2"/>
  </si>
  <si>
    <t>01.13.02</t>
    <phoneticPr fontId="2"/>
  </si>
  <si>
    <t>01.14.11</t>
    <phoneticPr fontId="2"/>
  </si>
  <si>
    <t>01.14.06</t>
    <phoneticPr fontId="2"/>
  </si>
  <si>
    <t>01.15.00</t>
    <phoneticPr fontId="2"/>
  </si>
  <si>
    <t>01.12.21</t>
    <phoneticPr fontId="2"/>
  </si>
  <si>
    <t>01.13.17</t>
    <phoneticPr fontId="2"/>
  </si>
  <si>
    <t>01.14.08</t>
    <phoneticPr fontId="2"/>
  </si>
  <si>
    <t>01.15.03</t>
    <phoneticPr fontId="2"/>
  </si>
  <si>
    <t>01.14.15</t>
    <phoneticPr fontId="2"/>
  </si>
  <si>
    <t>週足レベルのT/Lブレイクは１H足でのINタイミングには合わない。</t>
    <rPh sb="0" eb="1">
      <t>シュウ</t>
    </rPh>
    <rPh sb="1" eb="2">
      <t>アシ</t>
    </rPh>
    <rPh sb="16" eb="17">
      <t>アシ</t>
    </rPh>
    <rPh sb="28" eb="29">
      <t>ア</t>
    </rPh>
    <phoneticPr fontId="2"/>
  </si>
  <si>
    <t>2016.01.04～</t>
    <phoneticPr fontId="2"/>
  </si>
  <si>
    <t>決済が良ければ利益が出せていたはずだが…決済ができず戻ってきて建値決済orロスカットにより損失拡大。</t>
    <rPh sb="0" eb="2">
      <t>ケッサイ</t>
    </rPh>
    <rPh sb="3" eb="4">
      <t>ヨ</t>
    </rPh>
    <rPh sb="7" eb="9">
      <t>リエキ</t>
    </rPh>
    <rPh sb="10" eb="11">
      <t>ダ</t>
    </rPh>
    <rPh sb="20" eb="22">
      <t>ケッサイ</t>
    </rPh>
    <rPh sb="26" eb="27">
      <t>モド</t>
    </rPh>
    <rPh sb="31" eb="33">
      <t>タテネ</t>
    </rPh>
    <rPh sb="33" eb="35">
      <t>ケッサイ</t>
    </rPh>
    <rPh sb="45" eb="47">
      <t>ソンシツ</t>
    </rPh>
    <rPh sb="47" eb="49">
      <t>カクダイ</t>
    </rPh>
    <phoneticPr fontId="2"/>
  </si>
  <si>
    <t>決済ルール</t>
    <rPh sb="0" eb="2">
      <t>ケッサイ</t>
    </rPh>
    <phoneticPr fontId="2"/>
  </si>
  <si>
    <t>自分の狙うところではIN後急な伸びが無かった場合、逆行することが多い。建値撤退の準備をする。</t>
    <rPh sb="0" eb="2">
      <t>ジブン</t>
    </rPh>
    <rPh sb="3" eb="4">
      <t>ネラ</t>
    </rPh>
    <rPh sb="12" eb="13">
      <t>アト</t>
    </rPh>
    <rPh sb="13" eb="14">
      <t>キュウ</t>
    </rPh>
    <rPh sb="15" eb="16">
      <t>ノ</t>
    </rPh>
    <rPh sb="18" eb="19">
      <t>ナ</t>
    </rPh>
    <rPh sb="22" eb="24">
      <t>バアイ</t>
    </rPh>
    <rPh sb="25" eb="27">
      <t>ギャッコウ</t>
    </rPh>
    <rPh sb="32" eb="33">
      <t>オオ</t>
    </rPh>
    <rPh sb="35" eb="37">
      <t>タテネ</t>
    </rPh>
    <rPh sb="37" eb="39">
      <t>テッタイ</t>
    </rPh>
    <rPh sb="40" eb="42">
      <t>ジュンビ</t>
    </rPh>
    <phoneticPr fontId="2"/>
  </si>
  <si>
    <t>T/Lに支えられて逆行している場合はブレイクを期待して持っていて良いが、T/Lから剥離する急上昇（急下落）になった場合は強い逆行となる為、すぐに決済する！</t>
    <rPh sb="4" eb="5">
      <t>ササ</t>
    </rPh>
    <rPh sb="9" eb="11">
      <t>ギャッコウ</t>
    </rPh>
    <rPh sb="15" eb="17">
      <t>バアイ</t>
    </rPh>
    <rPh sb="23" eb="25">
      <t>キタイ</t>
    </rPh>
    <rPh sb="27" eb="28">
      <t>モ</t>
    </rPh>
    <rPh sb="32" eb="33">
      <t>ヨ</t>
    </rPh>
    <rPh sb="41" eb="43">
      <t>ハクリ</t>
    </rPh>
    <rPh sb="45" eb="48">
      <t>キュウジョウショウ</t>
    </rPh>
    <rPh sb="49" eb="50">
      <t>キュウ</t>
    </rPh>
    <rPh sb="50" eb="52">
      <t>ゲラク</t>
    </rPh>
    <rPh sb="57" eb="59">
      <t>バアイ</t>
    </rPh>
    <rPh sb="60" eb="61">
      <t>ツヨ</t>
    </rPh>
    <rPh sb="62" eb="64">
      <t>ギャッコウ</t>
    </rPh>
    <rPh sb="67" eb="68">
      <t>タメ</t>
    </rPh>
    <rPh sb="72" eb="74">
      <t>ケッサイ</t>
    </rPh>
    <phoneticPr fontId="2"/>
  </si>
  <si>
    <t>EURGBP</t>
    <phoneticPr fontId="2"/>
  </si>
  <si>
    <t>CADJPY</t>
    <phoneticPr fontId="2"/>
  </si>
  <si>
    <t>EURAUD</t>
    <phoneticPr fontId="2"/>
  </si>
  <si>
    <t>01.19.11</t>
    <phoneticPr fontId="2"/>
  </si>
  <si>
    <t>01.19.17</t>
    <phoneticPr fontId="2"/>
  </si>
  <si>
    <t>01.21.05</t>
    <phoneticPr fontId="2"/>
  </si>
  <si>
    <t>01.19.14</t>
    <phoneticPr fontId="2"/>
  </si>
  <si>
    <t>01.19.19</t>
    <phoneticPr fontId="2"/>
  </si>
  <si>
    <t>loss</t>
    <phoneticPr fontId="2"/>
  </si>
  <si>
    <t>01.18～</t>
    <phoneticPr fontId="2"/>
  </si>
  <si>
    <t>T/Lを引く時は小さなヒゲも必ず条件に入れる！！</t>
    <rPh sb="4" eb="5">
      <t>ヒ</t>
    </rPh>
    <rPh sb="6" eb="7">
      <t>トキ</t>
    </rPh>
    <rPh sb="8" eb="9">
      <t>チイ</t>
    </rPh>
    <rPh sb="14" eb="15">
      <t>カナラ</t>
    </rPh>
    <rPh sb="16" eb="18">
      <t>ジョウケン</t>
    </rPh>
    <rPh sb="19" eb="20">
      <t>イ</t>
    </rPh>
    <phoneticPr fontId="2"/>
  </si>
  <si>
    <t>今までのルールにダウ転換も条件に入れる！</t>
    <rPh sb="0" eb="1">
      <t>イマ</t>
    </rPh>
    <rPh sb="10" eb="12">
      <t>テンカン</t>
    </rPh>
    <rPh sb="13" eb="15">
      <t>ジョウケン</t>
    </rPh>
    <rPh sb="16" eb="17">
      <t>イ</t>
    </rPh>
    <phoneticPr fontId="2"/>
  </si>
  <si>
    <t>AUDUSD</t>
    <phoneticPr fontId="2"/>
  </si>
  <si>
    <t>GBPUSD</t>
    <phoneticPr fontId="2"/>
  </si>
  <si>
    <t>EURUSD</t>
    <phoneticPr fontId="2"/>
  </si>
  <si>
    <t>sell</t>
    <phoneticPr fontId="2"/>
  </si>
  <si>
    <t>buy</t>
    <phoneticPr fontId="2"/>
  </si>
  <si>
    <t>01.25.02</t>
    <phoneticPr fontId="2"/>
  </si>
  <si>
    <t>01.26.14</t>
    <phoneticPr fontId="2"/>
  </si>
  <si>
    <t>01.29.13</t>
    <phoneticPr fontId="2"/>
  </si>
  <si>
    <t>01.25.05</t>
    <phoneticPr fontId="2"/>
  </si>
  <si>
    <t>01.27.01</t>
    <phoneticPr fontId="2"/>
  </si>
  <si>
    <t>01.29.16</t>
    <phoneticPr fontId="2"/>
  </si>
  <si>
    <t>loss</t>
    <phoneticPr fontId="2"/>
  </si>
  <si>
    <t>win</t>
    <phoneticPr fontId="2"/>
  </si>
  <si>
    <t>01.25～</t>
    <phoneticPr fontId="2"/>
  </si>
  <si>
    <t>強い指標発表を伴うレンジブレイクの際は伸ばしてみる</t>
    <rPh sb="0" eb="1">
      <t>ツヨ</t>
    </rPh>
    <rPh sb="2" eb="4">
      <t>シヒョウ</t>
    </rPh>
    <rPh sb="4" eb="6">
      <t>ハッピョウ</t>
    </rPh>
    <rPh sb="7" eb="8">
      <t>トモナ</t>
    </rPh>
    <rPh sb="17" eb="18">
      <t>サイ</t>
    </rPh>
    <rPh sb="19" eb="20">
      <t>ノ</t>
    </rPh>
    <phoneticPr fontId="2"/>
  </si>
  <si>
    <r>
      <t>2016.01.04</t>
    </r>
    <r>
      <rPr>
        <sz val="11"/>
        <color rgb="FFFF0000"/>
        <rFont val="ＭＳ Ｐゴシック"/>
        <family val="3"/>
        <charset val="128"/>
      </rPr>
      <t xml:space="preserve">
</t>
    </r>
    <r>
      <rPr>
        <b/>
        <sz val="11"/>
        <color rgb="FFFF0000"/>
        <rFont val="ＭＳ Ｐゴシック"/>
        <family val="3"/>
        <charset val="128"/>
      </rPr>
      <t>追記01.２５～</t>
    </r>
    <rPh sb="11" eb="13">
      <t>ツイキ</t>
    </rPh>
    <phoneticPr fontId="2"/>
  </si>
  <si>
    <r>
      <t>　　　　　　　　　　　　　　　　　　　　　　　　　　　　　　　　　　　　　　　　　</t>
    </r>
    <r>
      <rPr>
        <b/>
        <sz val="11"/>
        <color indexed="8"/>
        <rFont val="ＭＳ Ｐゴシック"/>
        <family val="3"/>
        <charset val="128"/>
      </rPr>
      <t>エントリー時</t>
    </r>
    <r>
      <rPr>
        <sz val="11"/>
        <color indexed="8"/>
        <rFont val="ＭＳ Ｐゴシック"/>
        <family val="3"/>
        <charset val="128"/>
      </rPr>
      <t xml:space="preserve">
・週足で引いたS/Rに当たる部分を４H→１H足で確認。ウェッジ/フラッグになっていれば第一条件合格
・ウェッジ/フラッグをブレイク後、１５分</t>
    </r>
    <r>
      <rPr>
        <b/>
        <sz val="11"/>
        <color rgb="FFFF0000"/>
        <rFont val="ＭＳ Ｐゴシック"/>
        <family val="3"/>
        <charset val="128"/>
      </rPr>
      <t>or５分</t>
    </r>
    <r>
      <rPr>
        <sz val="11"/>
        <color indexed="8"/>
        <rFont val="ＭＳ Ｐゴシック"/>
        <family val="3"/>
        <charset val="128"/>
      </rPr>
      <t>足で原則２回目の戻り（セカンドストライク）を狙う。２回目の戻りが</t>
    </r>
    <r>
      <rPr>
        <b/>
        <sz val="11"/>
        <color rgb="FFFF0000"/>
        <rFont val="ＭＳ Ｐゴシック"/>
        <family val="3"/>
        <charset val="128"/>
      </rPr>
      <t>FIBライン接触後→</t>
    </r>
    <r>
      <rPr>
        <sz val="11"/>
        <color indexed="8"/>
        <rFont val="ＭＳ Ｐゴシック"/>
        <family val="3"/>
        <charset val="128"/>
      </rPr>
      <t>ウェッジ
　ブレイク＋</t>
    </r>
    <r>
      <rPr>
        <b/>
        <sz val="11"/>
        <color rgb="FFFF0000"/>
        <rFont val="ＭＳ Ｐゴシック"/>
        <family val="3"/>
        <charset val="128"/>
      </rPr>
      <t>ダウ転換で</t>
    </r>
    <r>
      <rPr>
        <sz val="11"/>
        <color indexed="8"/>
        <rFont val="ＭＳ Ｐゴシック"/>
        <family val="3"/>
        <charset val="128"/>
      </rPr>
      <t>フルリスクIN、それ以外ならロットを落としてINする。
・キレイなウェッジを伴ったFSであれば、１回目でも入る
・FSの作り方が緩やか</t>
    </r>
    <r>
      <rPr>
        <sz val="11"/>
        <rFont val="ＭＳ Ｐゴシック"/>
        <family val="3"/>
        <charset val="128"/>
      </rPr>
      <t>過ぎる</t>
    </r>
    <r>
      <rPr>
        <sz val="11"/>
        <color indexed="8"/>
        <rFont val="ＭＳ Ｐゴシック"/>
        <family val="3"/>
        <charset val="128"/>
      </rPr>
      <t>（上昇/下落角度が少ない）時は、FSと認識しない</t>
    </r>
    <r>
      <rPr>
        <sz val="9"/>
        <color indexed="8"/>
        <rFont val="ＭＳ Ｐゴシック"/>
        <family val="3"/>
        <charset val="128"/>
      </rPr>
      <t xml:space="preserve">
</t>
    </r>
    <r>
      <rPr>
        <sz val="11"/>
        <rFont val="ＭＳ Ｐゴシック"/>
        <family val="3"/>
        <charset val="128"/>
      </rPr>
      <t>・決済タイミングはFIB38.2を基準として、手前で頭打ちが確認できれば決済。素直に38.2まで到達したらトレーリング実施。
・エントリールールは原則上記ルールのみとする。</t>
    </r>
    <r>
      <rPr>
        <sz val="11"/>
        <color rgb="FFFF0000"/>
        <rFont val="ＭＳ Ｐゴシック"/>
        <family val="3"/>
        <charset val="128"/>
      </rPr>
      <t xml:space="preserve">
</t>
    </r>
    <r>
      <rPr>
        <sz val="11"/>
        <rFont val="ＭＳ Ｐゴシック"/>
        <family val="3"/>
        <charset val="128"/>
      </rPr>
      <t>・例外的に４H足でのウェッジブレイクがH＆Sのブレイクと重なった場合には、ロットを落として入ってみる。</t>
    </r>
    <rPh sb="46" eb="47">
      <t>ジ</t>
    </rPh>
    <rPh sb="72" eb="74">
      <t>カクニン</t>
    </rPh>
    <rPh sb="91" eb="93">
      <t>ダイイチ</t>
    </rPh>
    <rPh sb="93" eb="95">
      <t>ジョウケン</t>
    </rPh>
    <rPh sb="95" eb="97">
      <t>ゴウカク</t>
    </rPh>
    <rPh sb="113" eb="114">
      <t>アト</t>
    </rPh>
    <rPh sb="117" eb="118">
      <t>フン</t>
    </rPh>
    <rPh sb="121" eb="122">
      <t>フン</t>
    </rPh>
    <rPh sb="122" eb="123">
      <t>アシ</t>
    </rPh>
    <rPh sb="130" eb="131">
      <t>モド</t>
    </rPh>
    <rPh sb="148" eb="150">
      <t>カイメ</t>
    </rPh>
    <rPh sb="151" eb="152">
      <t>モド</t>
    </rPh>
    <rPh sb="160" eb="162">
      <t>セッショク</t>
    </rPh>
    <rPh sb="162" eb="163">
      <t>ゴ</t>
    </rPh>
    <rPh sb="177" eb="179">
      <t>テンカン</t>
    </rPh>
    <rPh sb="190" eb="192">
      <t>イガイ</t>
    </rPh>
    <rPh sb="198" eb="199">
      <t>オ</t>
    </rPh>
    <rPh sb="247" eb="248">
      <t>ス</t>
    </rPh>
    <rPh sb="292" eb="294">
      <t>キジュン</t>
    </rPh>
    <rPh sb="298" eb="300">
      <t>テマエ</t>
    </rPh>
    <rPh sb="301" eb="303">
      <t>アタマウ</t>
    </rPh>
    <rPh sb="305" eb="307">
      <t>カクニン</t>
    </rPh>
    <rPh sb="311" eb="313">
      <t>ケッサイ</t>
    </rPh>
    <rPh sb="314" eb="316">
      <t>スナオ</t>
    </rPh>
    <rPh sb="323" eb="325">
      <t>トウタツ</t>
    </rPh>
    <rPh sb="334" eb="336">
      <t>ジッシ</t>
    </rPh>
    <rPh sb="348" eb="350">
      <t>ゲンソク</t>
    </rPh>
    <rPh sb="350" eb="352">
      <t>ジョウキ</t>
    </rPh>
    <rPh sb="363" eb="365">
      <t>レイガイ</t>
    </rPh>
    <rPh sb="365" eb="366">
      <t>テキ</t>
    </rPh>
    <rPh sb="369" eb="370">
      <t>アシ</t>
    </rPh>
    <rPh sb="390" eb="391">
      <t>カサ</t>
    </rPh>
    <rPh sb="394" eb="396">
      <t>バアイ</t>
    </rPh>
    <rPh sb="403" eb="404">
      <t>オ</t>
    </rPh>
    <rPh sb="407" eb="408">
      <t>ハイ</t>
    </rPh>
    <phoneticPr fontId="2"/>
  </si>
  <si>
    <r>
      <t>　　　　　　　　　　　　　　　　　　　　　　　　　　　　　　　　　　　　　　　　</t>
    </r>
    <r>
      <rPr>
        <sz val="11"/>
        <color rgb="FFFF0000"/>
        <rFont val="ＭＳ Ｐゴシック"/>
        <family val="3"/>
        <charset val="128"/>
      </rPr>
      <t>　決済時</t>
    </r>
    <r>
      <rPr>
        <sz val="11"/>
        <color indexed="8"/>
        <rFont val="ＭＳ Ｐゴシック"/>
        <family val="3"/>
        <charset val="128"/>
      </rPr>
      <t xml:space="preserve">
</t>
    </r>
    <r>
      <rPr>
        <sz val="11"/>
        <color rgb="FFFF0000"/>
        <rFont val="ＭＳ Ｐゴシック"/>
        <family val="3"/>
        <charset val="128"/>
      </rPr>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
・IN後急な伸びが無かった場合、逆行することが多い。建値撤退の準備をする。
・T/Lに支えられて逆行している場合はブレイクを期待して持っていて良いが、T/Lから剥離する急上昇（急下落）になった場合は
　強い逆行となる為、すぐに決済する！</t>
    </r>
    <rPh sb="41" eb="43">
      <t>ケッサイ</t>
    </rPh>
    <rPh sb="43" eb="44">
      <t>ジ</t>
    </rPh>
    <phoneticPr fontId="2"/>
  </si>
  <si>
    <t>やっとFIBを実用できてきた気がする。。FIBの威力絶大！←よく効く相場の時に攻めよう</t>
    <rPh sb="7" eb="9">
      <t>ジツヨウ</t>
    </rPh>
    <rPh sb="14" eb="15">
      <t>キ</t>
    </rPh>
    <rPh sb="24" eb="26">
      <t>イリョク</t>
    </rPh>
    <rPh sb="26" eb="28">
      <t>ゼツダイ</t>
    </rPh>
    <rPh sb="32" eb="33">
      <t>キ</t>
    </rPh>
    <rPh sb="34" eb="36">
      <t>ソウバ</t>
    </rPh>
    <rPh sb="37" eb="38">
      <t>トキ</t>
    </rPh>
    <rPh sb="39" eb="40">
      <t>セ</t>
    </rPh>
    <phoneticPr fontId="2"/>
  </si>
  <si>
    <t>レンジブレイク+ダウ転換でのINルールも良い感じ
戻り時に短い時間足でもチャートパターンが出ていればフルロットかけていく</t>
    <rPh sb="10" eb="12">
      <t>テンカン</t>
    </rPh>
    <rPh sb="20" eb="21">
      <t>イ</t>
    </rPh>
    <rPh sb="22" eb="23">
      <t>カン</t>
    </rPh>
    <rPh sb="25" eb="26">
      <t>モド</t>
    </rPh>
    <rPh sb="27" eb="28">
      <t>ジ</t>
    </rPh>
    <rPh sb="29" eb="30">
      <t>ミジカ</t>
    </rPh>
    <rPh sb="31" eb="33">
      <t>ジカン</t>
    </rPh>
    <rPh sb="33" eb="34">
      <t>アシ</t>
    </rPh>
    <rPh sb="45" eb="46">
      <t>デ</t>
    </rPh>
    <phoneticPr fontId="2"/>
  </si>
  <si>
    <t>ストップ移動はFIB＋ダウで行う！</t>
    <rPh sb="4" eb="6">
      <t>イドウ</t>
    </rPh>
    <rPh sb="14" eb="15">
      <t>オコナ</t>
    </rPh>
    <phoneticPr fontId="2"/>
  </si>
  <si>
    <t>AUDCHF</t>
    <phoneticPr fontId="2"/>
  </si>
  <si>
    <t>EURAUD</t>
    <phoneticPr fontId="2"/>
  </si>
  <si>
    <t>USDCHF</t>
    <phoneticPr fontId="2"/>
  </si>
  <si>
    <t>CADJPY</t>
    <phoneticPr fontId="2"/>
  </si>
  <si>
    <t>USDJPY</t>
    <phoneticPr fontId="2"/>
  </si>
  <si>
    <t>sell</t>
    <phoneticPr fontId="2"/>
  </si>
  <si>
    <t>buy</t>
    <phoneticPr fontId="2"/>
  </si>
  <si>
    <t>buy</t>
    <phoneticPr fontId="2"/>
  </si>
  <si>
    <t>02.01.16</t>
    <phoneticPr fontId="2"/>
  </si>
  <si>
    <t>02.02.05</t>
    <phoneticPr fontId="2"/>
  </si>
  <si>
    <t>02.03.12</t>
    <phoneticPr fontId="2"/>
  </si>
  <si>
    <t>02.04.10</t>
    <phoneticPr fontId="2"/>
  </si>
  <si>
    <t>02.04.15</t>
    <phoneticPr fontId="2"/>
  </si>
  <si>
    <t>02.05.02</t>
    <phoneticPr fontId="2"/>
  </si>
  <si>
    <t>02.01.18</t>
    <phoneticPr fontId="2"/>
  </si>
  <si>
    <t>02.02.10</t>
    <phoneticPr fontId="2"/>
  </si>
  <si>
    <t>02.03.14</t>
    <phoneticPr fontId="2"/>
  </si>
  <si>
    <t>02.04.12</t>
    <phoneticPr fontId="2"/>
  </si>
  <si>
    <t>02.04.16</t>
    <phoneticPr fontId="2"/>
  </si>
  <si>
    <t>02.05.15</t>
    <phoneticPr fontId="2"/>
  </si>
  <si>
    <t>loss</t>
    <phoneticPr fontId="2"/>
  </si>
  <si>
    <t>drw</t>
    <phoneticPr fontId="2"/>
  </si>
  <si>
    <t>loss</t>
    <phoneticPr fontId="2"/>
  </si>
  <si>
    <t>02.01～</t>
    <phoneticPr fontId="2"/>
  </si>
  <si>
    <t>ヒゲで戻った場所にS/Lを置いてて刈られる事態が前半３回全てで発生。</t>
    <rPh sb="3" eb="4">
      <t>モド</t>
    </rPh>
    <rPh sb="6" eb="8">
      <t>バショ</t>
    </rPh>
    <rPh sb="13" eb="14">
      <t>オ</t>
    </rPh>
    <rPh sb="17" eb="18">
      <t>カ</t>
    </rPh>
    <rPh sb="21" eb="23">
      <t>ジタイ</t>
    </rPh>
    <rPh sb="24" eb="26">
      <t>ゼンハン</t>
    </rPh>
    <rPh sb="27" eb="28">
      <t>カイ</t>
    </rPh>
    <rPh sb="28" eb="29">
      <t>スベ</t>
    </rPh>
    <rPh sb="31" eb="33">
      <t>ハッセイ</t>
    </rPh>
    <phoneticPr fontId="2"/>
  </si>
  <si>
    <t>ストップ位置は１H足以上で設定する！！</t>
    <rPh sb="4" eb="6">
      <t>イチ</t>
    </rPh>
    <rPh sb="9" eb="10">
      <t>アシ</t>
    </rPh>
    <rPh sb="10" eb="12">
      <t>イジョウ</t>
    </rPh>
    <rPh sb="13" eb="15">
      <t>セッテイ</t>
    </rPh>
    <phoneticPr fontId="2"/>
  </si>
  <si>
    <t>GBPJPY</t>
    <phoneticPr fontId="2"/>
  </si>
  <si>
    <t>NZDCAD</t>
    <phoneticPr fontId="2"/>
  </si>
  <si>
    <t>EURGBP</t>
    <phoneticPr fontId="2"/>
  </si>
  <si>
    <t>buy</t>
    <phoneticPr fontId="2"/>
  </si>
  <si>
    <t>sell</t>
    <phoneticPr fontId="2"/>
  </si>
  <si>
    <t>02.08.06</t>
    <phoneticPr fontId="2"/>
  </si>
  <si>
    <t>02.09.16</t>
    <phoneticPr fontId="2"/>
  </si>
  <si>
    <t>02.10.00</t>
    <phoneticPr fontId="2"/>
  </si>
  <si>
    <t>02.12.00</t>
    <phoneticPr fontId="2"/>
  </si>
  <si>
    <t>02.08.12</t>
    <phoneticPr fontId="2"/>
  </si>
  <si>
    <t>02.09.20</t>
    <phoneticPr fontId="2"/>
  </si>
  <si>
    <t>02.12.12</t>
    <phoneticPr fontId="2"/>
  </si>
  <si>
    <t>loss</t>
    <phoneticPr fontId="2"/>
  </si>
  <si>
    <t>win</t>
    <phoneticPr fontId="2"/>
  </si>
  <si>
    <t>02.08～</t>
    <phoneticPr fontId="2"/>
  </si>
  <si>
    <t>INタイミングを探る時、５分足までいくと潜りすぎ×１５分足までで抑える。</t>
    <rPh sb="8" eb="9">
      <t>サグ</t>
    </rPh>
    <rPh sb="10" eb="11">
      <t>トキ</t>
    </rPh>
    <rPh sb="13" eb="14">
      <t>フン</t>
    </rPh>
    <rPh sb="14" eb="15">
      <t>アシ</t>
    </rPh>
    <rPh sb="20" eb="21">
      <t>モグ</t>
    </rPh>
    <rPh sb="27" eb="28">
      <t>フン</t>
    </rPh>
    <rPh sb="28" eb="29">
      <t>アシ</t>
    </rPh>
    <rPh sb="32" eb="33">
      <t>オサ</t>
    </rPh>
    <phoneticPr fontId="2"/>
  </si>
  <si>
    <t>今週も1/18週のような「戻りのない相場環境」で、どんどん高値／安値更新される相場だった。
こういう相場では転換点を狙う自分ルールは厳しい。
復習をしているとこの相場環境でINしようとして、トレード根拠が曖昧になっていることが分かる。
曖昧にならなければ、「戻りのない相場環境」をスルーできるはず…もっと厳しく見極めなければ。</t>
    <rPh sb="0" eb="2">
      <t>コンシュウ</t>
    </rPh>
    <rPh sb="7" eb="8">
      <t>シュウ</t>
    </rPh>
    <rPh sb="13" eb="14">
      <t>モド</t>
    </rPh>
    <rPh sb="18" eb="20">
      <t>ソウバ</t>
    </rPh>
    <rPh sb="20" eb="22">
      <t>カンキョウ</t>
    </rPh>
    <rPh sb="29" eb="31">
      <t>タカネ</t>
    </rPh>
    <rPh sb="32" eb="34">
      <t>ヤスネ</t>
    </rPh>
    <rPh sb="34" eb="36">
      <t>コウシン</t>
    </rPh>
    <rPh sb="39" eb="41">
      <t>ソウバ</t>
    </rPh>
    <rPh sb="50" eb="52">
      <t>ソウバ</t>
    </rPh>
    <rPh sb="54" eb="56">
      <t>テンカン</t>
    </rPh>
    <rPh sb="56" eb="57">
      <t>テン</t>
    </rPh>
    <rPh sb="58" eb="59">
      <t>ネラ</t>
    </rPh>
    <rPh sb="60" eb="62">
      <t>ジブン</t>
    </rPh>
    <rPh sb="66" eb="67">
      <t>キビ</t>
    </rPh>
    <rPh sb="71" eb="73">
      <t>フクシュウ</t>
    </rPh>
    <rPh sb="81" eb="83">
      <t>ソウバ</t>
    </rPh>
    <rPh sb="83" eb="85">
      <t>カンキョウ</t>
    </rPh>
    <rPh sb="99" eb="101">
      <t>コンキョ</t>
    </rPh>
    <rPh sb="102" eb="104">
      <t>アイマイ</t>
    </rPh>
    <rPh sb="113" eb="114">
      <t>ワ</t>
    </rPh>
    <rPh sb="118" eb="120">
      <t>アイマイ</t>
    </rPh>
    <rPh sb="129" eb="130">
      <t>モド</t>
    </rPh>
    <rPh sb="134" eb="136">
      <t>ソウバ</t>
    </rPh>
    <rPh sb="136" eb="138">
      <t>カンキョウ</t>
    </rPh>
    <rPh sb="152" eb="153">
      <t>キビ</t>
    </rPh>
    <rPh sb="155" eb="157">
      <t>ミキワ</t>
    </rPh>
    <phoneticPr fontId="2"/>
  </si>
  <si>
    <t>今週は本当は獲るべき相場環境だった。</t>
    <rPh sb="0" eb="2">
      <t>コンシュウ</t>
    </rPh>
    <rPh sb="3" eb="5">
      <t>ホントウ</t>
    </rPh>
    <rPh sb="6" eb="7">
      <t>ト</t>
    </rPh>
    <rPh sb="10" eb="12">
      <t>ソウバ</t>
    </rPh>
    <rPh sb="12" eb="14">
      <t>カンキョウ</t>
    </rPh>
    <phoneticPr fontId="2"/>
  </si>
  <si>
    <t>ロスカット位置を１５分足等の短い時間足で決めてしまった為、ストップ幅が狭すぎたことが原因。</t>
    <rPh sb="5" eb="7">
      <t>イチ</t>
    </rPh>
    <rPh sb="10" eb="11">
      <t>フン</t>
    </rPh>
    <rPh sb="11" eb="12">
      <t>アシ</t>
    </rPh>
    <rPh sb="12" eb="13">
      <t>ナド</t>
    </rPh>
    <rPh sb="14" eb="15">
      <t>ミジカ</t>
    </rPh>
    <rPh sb="16" eb="18">
      <t>ジカン</t>
    </rPh>
    <rPh sb="18" eb="19">
      <t>アシ</t>
    </rPh>
    <rPh sb="20" eb="21">
      <t>キ</t>
    </rPh>
    <rPh sb="27" eb="28">
      <t>タメ</t>
    </rPh>
    <rPh sb="33" eb="34">
      <t>ハバ</t>
    </rPh>
    <rPh sb="35" eb="36">
      <t>セマ</t>
    </rPh>
    <rPh sb="42" eb="44">
      <t>ゲンイン</t>
    </rPh>
    <phoneticPr fontId="2"/>
  </si>
  <si>
    <t>最初のT/Lブレイクから２回目の戻りまでは待つ！</t>
    <rPh sb="0" eb="2">
      <t>サイショ</t>
    </rPh>
    <rPh sb="13" eb="15">
      <t>カイメ</t>
    </rPh>
    <rPh sb="16" eb="17">
      <t>モド</t>
    </rPh>
    <rPh sb="21" eb="22">
      <t>マ</t>
    </rPh>
    <phoneticPr fontId="2"/>
  </si>
  <si>
    <t>EURJPY</t>
    <phoneticPr fontId="2"/>
  </si>
  <si>
    <t>GBPJPY</t>
    <phoneticPr fontId="2"/>
  </si>
  <si>
    <t>EURCHF</t>
    <phoneticPr fontId="2"/>
  </si>
  <si>
    <t>sell</t>
    <phoneticPr fontId="2"/>
  </si>
  <si>
    <t>buy</t>
    <phoneticPr fontId="2"/>
  </si>
  <si>
    <t>02.16.09</t>
    <phoneticPr fontId="2"/>
  </si>
  <si>
    <t>02.16.16</t>
    <phoneticPr fontId="2"/>
  </si>
  <si>
    <t>02.17.12</t>
    <phoneticPr fontId="2"/>
  </si>
  <si>
    <t>02.16.12</t>
    <phoneticPr fontId="2"/>
  </si>
  <si>
    <t>02.16.17</t>
    <phoneticPr fontId="2"/>
  </si>
  <si>
    <t>02.17.16</t>
    <phoneticPr fontId="2"/>
  </si>
  <si>
    <t>win</t>
    <phoneticPr fontId="2"/>
  </si>
  <si>
    <t>loss</t>
    <phoneticPr fontId="2"/>
  </si>
  <si>
    <t>02.15～</t>
    <phoneticPr fontId="2"/>
  </si>
  <si>
    <t>日足レベルで出ているトレンドからの戻りで出ている継続チャートパターンを狙う！</t>
    <rPh sb="0" eb="2">
      <t>ヒアシ</t>
    </rPh>
    <rPh sb="6" eb="7">
      <t>デ</t>
    </rPh>
    <rPh sb="17" eb="18">
      <t>モド</t>
    </rPh>
    <rPh sb="20" eb="21">
      <t>デ</t>
    </rPh>
    <rPh sb="24" eb="26">
      <t>ケイゾク</t>
    </rPh>
    <rPh sb="35" eb="36">
      <t>ネラ</t>
    </rPh>
    <phoneticPr fontId="2"/>
  </si>
  <si>
    <t>指値はスプレッド+αがかかって使い難い。スマホにアラート設定できる方法を探す。</t>
    <rPh sb="0" eb="2">
      <t>サシネ</t>
    </rPh>
    <rPh sb="15" eb="16">
      <t>ツカ</t>
    </rPh>
    <rPh sb="17" eb="18">
      <t>ニク</t>
    </rPh>
    <rPh sb="28" eb="30">
      <t>セッテイ</t>
    </rPh>
    <rPh sb="33" eb="35">
      <t>ホウホウ</t>
    </rPh>
    <rPh sb="36" eb="37">
      <t>サガ</t>
    </rPh>
    <phoneticPr fontId="2"/>
  </si>
  <si>
    <t>02.19.14</t>
    <phoneticPr fontId="2"/>
  </si>
  <si>
    <t>02.19.19</t>
    <phoneticPr fontId="2"/>
  </si>
  <si>
    <t>2.22～</t>
    <phoneticPr fontId="2"/>
  </si>
  <si>
    <t>USDJPY</t>
    <phoneticPr fontId="2"/>
  </si>
  <si>
    <t>USDCHF</t>
    <phoneticPr fontId="2"/>
  </si>
  <si>
    <t>EURCHF</t>
    <phoneticPr fontId="2"/>
  </si>
  <si>
    <t>sell</t>
    <phoneticPr fontId="2"/>
  </si>
  <si>
    <t>02.23.00</t>
    <phoneticPr fontId="2"/>
  </si>
  <si>
    <t>02.23.02</t>
    <phoneticPr fontId="2"/>
  </si>
  <si>
    <t>02.24.11</t>
    <phoneticPr fontId="2"/>
  </si>
  <si>
    <t>02.24.16</t>
    <phoneticPr fontId="2"/>
  </si>
  <si>
    <t>02.25.17</t>
    <phoneticPr fontId="2"/>
  </si>
  <si>
    <t>02.26.10</t>
    <phoneticPr fontId="2"/>
  </si>
  <si>
    <t>02.24.10</t>
    <phoneticPr fontId="2"/>
  </si>
  <si>
    <t>02.25.14</t>
    <phoneticPr fontId="2"/>
  </si>
  <si>
    <t>02.25.10</t>
    <phoneticPr fontId="2"/>
  </si>
  <si>
    <t>02.26.06</t>
    <phoneticPr fontId="2"/>
  </si>
  <si>
    <t>02.26.12</t>
    <phoneticPr fontId="2"/>
  </si>
  <si>
    <t>win</t>
    <phoneticPr fontId="2"/>
  </si>
  <si>
    <t>loss</t>
    <phoneticPr fontId="2"/>
  </si>
  <si>
    <r>
      <t>今週前半は調子が良かった。INルールに
「</t>
    </r>
    <r>
      <rPr>
        <b/>
        <sz val="11"/>
        <color indexed="8"/>
        <rFont val="ＭＳ Ｐゴシック"/>
        <family val="3"/>
        <charset val="128"/>
      </rPr>
      <t>大きな時間足のトレンドから１H足レベルでの戻し（反転状態）</t>
    </r>
    <r>
      <rPr>
        <sz val="11"/>
        <color indexed="8"/>
        <rFont val="ＭＳ Ｐゴシック"/>
        <family val="3"/>
        <charset val="128"/>
      </rPr>
      <t>が、自分ルールになっている事」
を加えたのが効いていると思われる。
これで反転狙いの自分ルールが大きな時間足ではトレンドフォローになる。
ただ金曜のエントリーがブレた事から、まだまだ絞り込みができていない→原因を見つけて消していく！</t>
    </r>
    <rPh sb="0" eb="2">
      <t>コンシュウ</t>
    </rPh>
    <rPh sb="2" eb="4">
      <t>ゼンハン</t>
    </rPh>
    <rPh sb="5" eb="7">
      <t>チョウシ</t>
    </rPh>
    <rPh sb="8" eb="9">
      <t>ヨ</t>
    </rPh>
    <rPh sb="21" eb="22">
      <t>オオ</t>
    </rPh>
    <rPh sb="24" eb="26">
      <t>ジカン</t>
    </rPh>
    <rPh sb="26" eb="27">
      <t>アシ</t>
    </rPh>
    <rPh sb="36" eb="37">
      <t>アシ</t>
    </rPh>
    <rPh sb="42" eb="43">
      <t>モド</t>
    </rPh>
    <rPh sb="45" eb="47">
      <t>ハンテン</t>
    </rPh>
    <rPh sb="47" eb="49">
      <t>ジョウタイ</t>
    </rPh>
    <rPh sb="52" eb="54">
      <t>ジブン</t>
    </rPh>
    <rPh sb="63" eb="64">
      <t>コト</t>
    </rPh>
    <rPh sb="67" eb="68">
      <t>クワ</t>
    </rPh>
    <rPh sb="72" eb="73">
      <t>キ</t>
    </rPh>
    <rPh sb="78" eb="79">
      <t>オモ</t>
    </rPh>
    <rPh sb="87" eb="89">
      <t>ハンテン</t>
    </rPh>
    <rPh sb="89" eb="90">
      <t>ネラ</t>
    </rPh>
    <rPh sb="92" eb="94">
      <t>ジブン</t>
    </rPh>
    <rPh sb="98" eb="99">
      <t>オオ</t>
    </rPh>
    <rPh sb="101" eb="103">
      <t>ジカン</t>
    </rPh>
    <rPh sb="103" eb="104">
      <t>アシ</t>
    </rPh>
    <rPh sb="121" eb="123">
      <t>キンヨウ</t>
    </rPh>
    <rPh sb="133" eb="134">
      <t>コト</t>
    </rPh>
    <rPh sb="141" eb="142">
      <t>シボ</t>
    </rPh>
    <rPh sb="143" eb="144">
      <t>コミ</t>
    </rPh>
    <rPh sb="153" eb="155">
      <t>ゲンイン</t>
    </rPh>
    <rPh sb="156" eb="157">
      <t>ミ</t>
    </rPh>
    <rPh sb="160" eb="161">
      <t>ケ</t>
    </rPh>
    <phoneticPr fontId="2"/>
  </si>
  <si>
    <t>今週の敗因は「２回目の戻りを待っていない」、「ロスカット幅が狭い」ことが原因→またルール無視をやらかしている！！
大きな時間足の流れを取り入れた時点で疎かになった。来週からはルールを厳しく守る！</t>
    <rPh sb="0" eb="2">
      <t>コンシュウ</t>
    </rPh>
    <rPh sb="3" eb="5">
      <t>ハイイン</t>
    </rPh>
    <rPh sb="8" eb="10">
      <t>カイメ</t>
    </rPh>
    <rPh sb="11" eb="12">
      <t>モド</t>
    </rPh>
    <rPh sb="14" eb="15">
      <t>マ</t>
    </rPh>
    <rPh sb="28" eb="29">
      <t>ハバ</t>
    </rPh>
    <rPh sb="30" eb="31">
      <t>セマ</t>
    </rPh>
    <rPh sb="36" eb="38">
      <t>ゲンイン</t>
    </rPh>
    <rPh sb="44" eb="46">
      <t>ムシ</t>
    </rPh>
    <rPh sb="57" eb="58">
      <t>オオ</t>
    </rPh>
    <rPh sb="60" eb="62">
      <t>ジカン</t>
    </rPh>
    <rPh sb="62" eb="63">
      <t>アシ</t>
    </rPh>
    <rPh sb="64" eb="65">
      <t>ナガ</t>
    </rPh>
    <rPh sb="67" eb="68">
      <t>ト</t>
    </rPh>
    <rPh sb="69" eb="70">
      <t>イ</t>
    </rPh>
    <rPh sb="72" eb="74">
      <t>ジテン</t>
    </rPh>
    <rPh sb="75" eb="76">
      <t>オロソ</t>
    </rPh>
    <rPh sb="82" eb="84">
      <t>ライシュウ</t>
    </rPh>
    <rPh sb="91" eb="92">
      <t>キビ</t>
    </rPh>
    <rPh sb="94" eb="95">
      <t>マモ</t>
    </rPh>
    <phoneticPr fontId="2"/>
  </si>
  <si>
    <t>100pips以上伸びてたら当日中に決済する</t>
    <rPh sb="7" eb="9">
      <t>イジョウ</t>
    </rPh>
    <rPh sb="9" eb="10">
      <t>ノ</t>
    </rPh>
    <rPh sb="14" eb="16">
      <t>トウジツ</t>
    </rPh>
    <rPh sb="16" eb="17">
      <t>チュウ</t>
    </rPh>
    <rPh sb="18" eb="20">
      <t>ケッサイ</t>
    </rPh>
    <phoneticPr fontId="2"/>
  </si>
  <si>
    <r>
      <t>　　　　　　　　　　　　　　　　　　　　　　　　　　　　　　　　　　　　　　　　　</t>
    </r>
    <r>
      <rPr>
        <b/>
        <sz val="11"/>
        <color indexed="8"/>
        <rFont val="ＭＳ Ｐゴシック"/>
        <family val="3"/>
        <charset val="128"/>
      </rPr>
      <t>エントリー時</t>
    </r>
    <r>
      <rPr>
        <sz val="11"/>
        <color indexed="8"/>
        <rFont val="ＭＳ Ｐゴシック"/>
        <family val="3"/>
        <charset val="128"/>
      </rPr>
      <t xml:space="preserve">
・４H足以上でトレンドの向きを確認→１H足レベルで逆行してウェッジ/フラッグになっていれば第一条件合格
・ウェッジ/フラッグをブレイク後、１５分足で原則２回目の戻り（セカンドストライク）を狙う。２回目の戻りが</t>
    </r>
    <r>
      <rPr>
        <b/>
        <sz val="11"/>
        <rFont val="ＭＳ Ｐゴシック"/>
        <family val="3"/>
        <charset val="128"/>
      </rPr>
      <t>FIBライン接触後→</t>
    </r>
    <r>
      <rPr>
        <sz val="11"/>
        <rFont val="ＭＳ Ｐゴシック"/>
        <family val="3"/>
        <charset val="128"/>
      </rPr>
      <t>ウェッジ
　ブレイク＋</t>
    </r>
    <r>
      <rPr>
        <b/>
        <sz val="11"/>
        <rFont val="ＭＳ Ｐゴシック"/>
        <family val="3"/>
        <charset val="128"/>
      </rPr>
      <t>ダウ転換で</t>
    </r>
    <r>
      <rPr>
        <sz val="11"/>
        <rFont val="ＭＳ Ｐゴシック"/>
        <family val="3"/>
        <charset val="128"/>
      </rPr>
      <t>フルリスクIN、それ以外ならロットを落としてINする。</t>
    </r>
    <r>
      <rPr>
        <sz val="11"/>
        <color indexed="8"/>
        <rFont val="ＭＳ Ｐゴシック"/>
        <family val="3"/>
        <charset val="128"/>
      </rPr>
      <t xml:space="preserve">
・</t>
    </r>
    <r>
      <rPr>
        <b/>
        <sz val="11"/>
        <color rgb="FFFF0000"/>
        <rFont val="ＭＳ Ｐゴシック"/>
        <family val="3"/>
        <charset val="128"/>
      </rPr>
      <t>角度が適度に緩やかで</t>
    </r>
    <r>
      <rPr>
        <sz val="11"/>
        <color indexed="8"/>
        <rFont val="ＭＳ Ｐゴシック"/>
        <family val="3"/>
        <charset val="128"/>
      </rPr>
      <t>キレイなウェッジを伴ったFSであれば、１回目でも入る。
・FSの作り方が緩やか</t>
    </r>
    <r>
      <rPr>
        <sz val="11"/>
        <rFont val="ＭＳ Ｐゴシック"/>
        <family val="3"/>
        <charset val="128"/>
      </rPr>
      <t>過ぎる</t>
    </r>
    <r>
      <rPr>
        <sz val="11"/>
        <color indexed="8"/>
        <rFont val="ＭＳ Ｐゴシック"/>
        <family val="3"/>
        <charset val="128"/>
      </rPr>
      <t>（上昇/下落角度が少ない）時は、FSと認識しない</t>
    </r>
    <r>
      <rPr>
        <sz val="9"/>
        <color indexed="8"/>
        <rFont val="ＭＳ Ｐゴシック"/>
        <family val="3"/>
        <charset val="128"/>
      </rPr>
      <t xml:space="preserve">
</t>
    </r>
    <r>
      <rPr>
        <sz val="11"/>
        <rFont val="ＭＳ Ｐゴシック"/>
        <family val="3"/>
        <charset val="128"/>
      </rPr>
      <t>・決済タイミングはFIB38.2を基準として、手前で頭打ちが確認できれば決済。素直に38.2まで到達したらトレーリング実施。
・エントリールールは原則上記ルールのみとする。</t>
    </r>
    <r>
      <rPr>
        <sz val="11"/>
        <color rgb="FFFF0000"/>
        <rFont val="ＭＳ Ｐゴシック"/>
        <family val="3"/>
        <charset val="128"/>
      </rPr>
      <t xml:space="preserve">
</t>
    </r>
    <r>
      <rPr>
        <sz val="11"/>
        <rFont val="ＭＳ Ｐゴシック"/>
        <family val="3"/>
        <charset val="128"/>
      </rPr>
      <t>・例外的に４H足でのウェッジブレイクがH＆Sのブレイクと重なった場合には、ロットを落として入ってみる。</t>
    </r>
    <rPh sb="46" eb="47">
      <t>ジ</t>
    </rPh>
    <rPh sb="51" eb="52">
      <t>アシ</t>
    </rPh>
    <rPh sb="52" eb="54">
      <t>イジョウ</t>
    </rPh>
    <rPh sb="60" eb="61">
      <t>ム</t>
    </rPh>
    <rPh sb="63" eb="65">
      <t>カクニン</t>
    </rPh>
    <rPh sb="73" eb="74">
      <t>ギャク</t>
    </rPh>
    <rPh sb="93" eb="95">
      <t>ダイイチ</t>
    </rPh>
    <rPh sb="95" eb="97">
      <t>ジョウケン</t>
    </rPh>
    <rPh sb="97" eb="99">
      <t>ゴウカク</t>
    </rPh>
    <rPh sb="115" eb="116">
      <t>アト</t>
    </rPh>
    <rPh sb="119" eb="120">
      <t>フン</t>
    </rPh>
    <rPh sb="120" eb="121">
      <t>アシ</t>
    </rPh>
    <rPh sb="128" eb="129">
      <t>モド</t>
    </rPh>
    <rPh sb="146" eb="148">
      <t>カイメ</t>
    </rPh>
    <rPh sb="149" eb="150">
      <t>モド</t>
    </rPh>
    <rPh sb="158" eb="160">
      <t>セッショク</t>
    </rPh>
    <rPh sb="160" eb="161">
      <t>ゴ</t>
    </rPh>
    <rPh sb="175" eb="177">
      <t>テンカン</t>
    </rPh>
    <rPh sb="188" eb="190">
      <t>イガイ</t>
    </rPh>
    <rPh sb="196" eb="197">
      <t>オ</t>
    </rPh>
    <rPh sb="207" eb="209">
      <t>カクド</t>
    </rPh>
    <rPh sb="210" eb="212">
      <t>テキド</t>
    </rPh>
    <rPh sb="213" eb="214">
      <t>ユル</t>
    </rPh>
    <rPh sb="256" eb="257">
      <t>ス</t>
    </rPh>
    <rPh sb="301" eb="303">
      <t>キジュン</t>
    </rPh>
    <rPh sb="307" eb="309">
      <t>テマエ</t>
    </rPh>
    <rPh sb="310" eb="312">
      <t>アタマウ</t>
    </rPh>
    <rPh sb="314" eb="316">
      <t>カクニン</t>
    </rPh>
    <rPh sb="320" eb="322">
      <t>ケッサイ</t>
    </rPh>
    <rPh sb="323" eb="325">
      <t>スナオ</t>
    </rPh>
    <rPh sb="332" eb="334">
      <t>トウタツ</t>
    </rPh>
    <rPh sb="343" eb="345">
      <t>ジッシ</t>
    </rPh>
    <rPh sb="357" eb="359">
      <t>ゲンソク</t>
    </rPh>
    <rPh sb="359" eb="361">
      <t>ジョウキ</t>
    </rPh>
    <rPh sb="372" eb="374">
      <t>レイガイ</t>
    </rPh>
    <rPh sb="374" eb="375">
      <t>テキ</t>
    </rPh>
    <rPh sb="378" eb="379">
      <t>アシ</t>
    </rPh>
    <rPh sb="399" eb="400">
      <t>カサ</t>
    </rPh>
    <rPh sb="403" eb="405">
      <t>バアイ</t>
    </rPh>
    <rPh sb="412" eb="413">
      <t>オ</t>
    </rPh>
    <rPh sb="416" eb="417">
      <t>ハイ</t>
    </rPh>
    <phoneticPr fontId="2"/>
  </si>
  <si>
    <r>
      <rPr>
        <sz val="11"/>
        <rFont val="ＭＳ Ｐゴシック"/>
        <family val="3"/>
        <charset val="128"/>
      </rPr>
      <t xml:space="preserve">　　　　　　　　　　　　　　　　　　　　　　　　　　　　　　　　　　　　　　　　　決済時
・毎週週明け最初の勝ちトレードは、その週の相場の伸びを探る為、まず直近にあるS/Rをターゲットにして早めに利確する。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
</t>
    </r>
    <r>
      <rPr>
        <b/>
        <sz val="11"/>
        <color rgb="FFFF0000"/>
        <rFont val="ＭＳ Ｐゴシック"/>
        <family val="3"/>
        <charset val="128"/>
      </rPr>
      <t>・IN後急な伸びが無かった場合、逆行することが多い。建値撤退の準備をする。</t>
    </r>
    <r>
      <rPr>
        <sz val="11"/>
        <rFont val="ＭＳ Ｐゴシック"/>
        <family val="3"/>
        <charset val="128"/>
      </rPr>
      <t xml:space="preserve">
・T/Lに支えられて逆行している場合はブレイクを期待して持っていて良いが、T/Lから剥離する急上昇（急下落）になった場合は
　強い逆行となる為、すぐに決済する！</t>
    </r>
    <r>
      <rPr>
        <sz val="11"/>
        <color rgb="FFFF0000"/>
        <rFont val="ＭＳ Ｐゴシック"/>
        <family val="3"/>
        <charset val="128"/>
      </rPr>
      <t xml:space="preserve">
・100pips以上伸びた場合、当日中に決済する。</t>
    </r>
    <rPh sb="41" eb="43">
      <t>ケッサイ</t>
    </rPh>
    <rPh sb="43" eb="44">
      <t>ジ</t>
    </rPh>
    <rPh sb="283" eb="285">
      <t>イジョウ</t>
    </rPh>
    <rPh sb="285" eb="286">
      <t>ノ</t>
    </rPh>
    <rPh sb="288" eb="290">
      <t>バアイ</t>
    </rPh>
    <rPh sb="291" eb="293">
      <t>トウジツ</t>
    </rPh>
    <rPh sb="293" eb="294">
      <t>チュウ</t>
    </rPh>
    <rPh sb="295" eb="297">
      <t>ケッサイ</t>
    </rPh>
    <phoneticPr fontId="2"/>
  </si>
  <si>
    <t>2016.02.28</t>
    <phoneticPr fontId="2"/>
  </si>
  <si>
    <t>２月</t>
    <rPh sb="1" eb="2">
      <t>ガツ</t>
    </rPh>
    <phoneticPr fontId="2"/>
  </si>
  <si>
    <t>1月</t>
    <rPh sb="1" eb="2">
      <t>ガツ</t>
    </rPh>
    <phoneticPr fontId="2"/>
  </si>
  <si>
    <t>１月合計</t>
    <rPh sb="1" eb="2">
      <t>ガツ</t>
    </rPh>
    <rPh sb="2" eb="4">
      <t>ゴウケイ</t>
    </rPh>
    <phoneticPr fontId="2"/>
  </si>
  <si>
    <t>２月合計</t>
    <rPh sb="1" eb="2">
      <t>ガツ</t>
    </rPh>
    <rPh sb="2" eb="4">
      <t>ゴウケイ</t>
    </rPh>
    <phoneticPr fontId="2"/>
  </si>
  <si>
    <t>D/Jの確認を忘れない
D/Jより強い要素を見逃さない</t>
    <rPh sb="4" eb="6">
      <t>カクニン</t>
    </rPh>
    <rPh sb="7" eb="8">
      <t>ワス</t>
    </rPh>
    <rPh sb="17" eb="18">
      <t>ツヨ</t>
    </rPh>
    <rPh sb="19" eb="21">
      <t>ヨウソ</t>
    </rPh>
    <rPh sb="22" eb="24">
      <t>ミノガ</t>
    </rPh>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</si>
  <si>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</si>
  <si>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再び決済に悩めたのは良いことだが、やはりヘタ。
軸足が１Hなので、基本はデイトレの認識が無難ぽい。
１H足での１スイングは最大１５０pips強付近が多いと思われる（ドル円）。100pips以上伸びていれば寝る前に決済した方が効率がよさそう。</t>
    <rPh sb="0" eb="1">
      <t>フタタ</t>
    </rPh>
    <rPh sb="2" eb="4">
      <t>ケッサイ</t>
    </rPh>
    <rPh sb="5" eb="6">
      <t>ナヤ</t>
    </rPh>
    <rPh sb="10" eb="11">
      <t>イ</t>
    </rPh>
    <phoneticPr fontId="2"/>
  </si>
  <si>
    <t>但し、ウェッジの角度が浅い場合は戻りが無い場合があるので、きれいなパターン／パターンが複合している場合は試し玉で入ってみる。</t>
    <rPh sb="0" eb="1">
      <t>タダ</t>
    </rPh>
    <rPh sb="8" eb="10">
      <t>カクド</t>
    </rPh>
    <rPh sb="11" eb="12">
      <t>アサ</t>
    </rPh>
    <rPh sb="13" eb="15">
      <t>バアイ</t>
    </rPh>
    <rPh sb="16" eb="17">
      <t>モド</t>
    </rPh>
    <rPh sb="19" eb="20">
      <t>ナ</t>
    </rPh>
    <rPh sb="21" eb="23">
      <t>バアイ</t>
    </rPh>
    <rPh sb="43" eb="45">
      <t>フクゴウ</t>
    </rPh>
    <rPh sb="49" eb="51">
      <t>バアイ</t>
    </rPh>
    <rPh sb="52" eb="53">
      <t>タメ</t>
    </rPh>
    <rPh sb="54" eb="55">
      <t>ダマ</t>
    </rPh>
    <rPh sb="56" eb="57">
      <t>ハイ</t>
    </rPh>
    <phoneticPr fontId="2"/>
  </si>
  <si>
    <t>逆に、ウェッジの角度が急な場合はしっかり戻りが出る場合が多いので、じっくり待つようにする。</t>
    <rPh sb="0" eb="1">
      <t>ギャク</t>
    </rPh>
    <rPh sb="8" eb="10">
      <t>カクド</t>
    </rPh>
    <rPh sb="11" eb="12">
      <t>キュウ</t>
    </rPh>
    <rPh sb="13" eb="15">
      <t>バアイ</t>
    </rPh>
    <rPh sb="20" eb="21">
      <t>モド</t>
    </rPh>
    <rPh sb="23" eb="24">
      <t>デ</t>
    </rPh>
    <rPh sb="25" eb="27">
      <t>バアイ</t>
    </rPh>
    <rPh sb="28" eb="29">
      <t>オオ</t>
    </rPh>
    <rPh sb="37" eb="38">
      <t>マ</t>
    </rPh>
    <phoneticPr fontId="2"/>
  </si>
  <si>
    <t>CADCHF</t>
    <phoneticPr fontId="2"/>
  </si>
  <si>
    <t>EURCHF</t>
    <phoneticPr fontId="2"/>
  </si>
  <si>
    <t>USDCHF</t>
    <phoneticPr fontId="2"/>
  </si>
  <si>
    <t>sell</t>
    <phoneticPr fontId="2"/>
  </si>
  <si>
    <t>03.03.16</t>
    <phoneticPr fontId="2"/>
  </si>
  <si>
    <t>02.29.18</t>
    <phoneticPr fontId="2"/>
  </si>
  <si>
    <t>02.29.23</t>
    <phoneticPr fontId="2"/>
  </si>
  <si>
    <t>03.03.14</t>
    <phoneticPr fontId="2"/>
  </si>
  <si>
    <t>03.01.17</t>
    <phoneticPr fontId="2"/>
  </si>
  <si>
    <t>03.16.17</t>
    <phoneticPr fontId="2"/>
  </si>
  <si>
    <t>03.04.14</t>
    <phoneticPr fontId="2"/>
  </si>
  <si>
    <t>03.02.07</t>
    <phoneticPr fontId="2"/>
  </si>
  <si>
    <t>loss</t>
    <phoneticPr fontId="2"/>
  </si>
  <si>
    <t>drw</t>
    <phoneticPr fontId="2"/>
  </si>
  <si>
    <t>2.29～</t>
    <phoneticPr fontId="2"/>
  </si>
  <si>
    <t>ウェッジの先端までブレイクしなかった場合、そのウェッジはスルー</t>
    <rPh sb="5" eb="7">
      <t>センタン</t>
    </rPh>
    <rPh sb="18" eb="20">
      <t>バアイ</t>
    </rPh>
    <phoneticPr fontId="2"/>
  </si>
  <si>
    <t>今週は再び指値に翻弄された×フェイクがあると指値は辛い。
フェイクが起こらない位完璧なカタチのトコロで入れるようになれれば良いが。。</t>
    <rPh sb="0" eb="2">
      <t>コンシュウ</t>
    </rPh>
    <rPh sb="3" eb="4">
      <t>フタタ</t>
    </rPh>
    <rPh sb="5" eb="7">
      <t>サシネ</t>
    </rPh>
    <rPh sb="8" eb="10">
      <t>ホンロウ</t>
    </rPh>
    <rPh sb="22" eb="24">
      <t>サシネ</t>
    </rPh>
    <rPh sb="25" eb="26">
      <t>ツラ</t>
    </rPh>
    <rPh sb="34" eb="35">
      <t>オ</t>
    </rPh>
    <rPh sb="39" eb="40">
      <t>クライ</t>
    </rPh>
    <rPh sb="40" eb="42">
      <t>カンペキ</t>
    </rPh>
    <rPh sb="51" eb="52">
      <t>ハイ</t>
    </rPh>
    <rPh sb="61" eb="62">
      <t>イ</t>
    </rPh>
    <phoneticPr fontId="2"/>
  </si>
  <si>
    <t>入るところに自信が持てなくてロスカット幅を大きくしたり、少し伸びたら相場環境も読まずに建値にストップ移動させてヒゲで切られたりと
エッジを消してしまっている気がする。</t>
    <rPh sb="0" eb="1">
      <t>ハイ</t>
    </rPh>
    <rPh sb="6" eb="8">
      <t>ジシン</t>
    </rPh>
    <rPh sb="9" eb="10">
      <t>モ</t>
    </rPh>
    <rPh sb="19" eb="20">
      <t>ハバ</t>
    </rPh>
    <rPh sb="21" eb="22">
      <t>オオ</t>
    </rPh>
    <rPh sb="28" eb="29">
      <t>スコ</t>
    </rPh>
    <rPh sb="30" eb="31">
      <t>ノ</t>
    </rPh>
    <rPh sb="34" eb="36">
      <t>ソウバ</t>
    </rPh>
    <rPh sb="36" eb="38">
      <t>カンキョウ</t>
    </rPh>
    <rPh sb="39" eb="40">
      <t>ヨ</t>
    </rPh>
    <rPh sb="43" eb="45">
      <t>タテネ</t>
    </rPh>
    <rPh sb="50" eb="52">
      <t>イドウ</t>
    </rPh>
    <rPh sb="58" eb="59">
      <t>キ</t>
    </rPh>
    <rPh sb="69" eb="70">
      <t>ケ</t>
    </rPh>
    <rPh sb="78" eb="79">
      <t>キ</t>
    </rPh>
    <phoneticPr fontId="2"/>
  </si>
  <si>
    <t>とはいえ、負けが少なくなってきているのも事実。</t>
    <rPh sb="5" eb="6">
      <t>マ</t>
    </rPh>
    <rPh sb="8" eb="9">
      <t>スク</t>
    </rPh>
    <rPh sb="20" eb="22">
      <t>ジジツ</t>
    </rPh>
    <phoneticPr fontId="2"/>
  </si>
  <si>
    <t>この流れで続けて、新しい気づきに期待したい。</t>
    <rPh sb="2" eb="3">
      <t>ナガ</t>
    </rPh>
    <rPh sb="5" eb="6">
      <t>ツヅ</t>
    </rPh>
    <rPh sb="9" eb="10">
      <t>アタラ</t>
    </rPh>
    <rPh sb="12" eb="13">
      <t>キ</t>
    </rPh>
    <rPh sb="16" eb="18">
      <t>キタイ</t>
    </rPh>
    <phoneticPr fontId="2"/>
  </si>
  <si>
    <r>
      <rPr>
        <b/>
        <sz val="11"/>
        <color indexed="8"/>
        <rFont val="ＭＳ Ｐゴシック"/>
        <family val="3"/>
        <charset val="128"/>
      </rPr>
      <t>ウェッジよりフラッグの方が強い！</t>
    </r>
    <r>
      <rPr>
        <sz val="11"/>
        <color indexed="8"/>
        <rFont val="ＭＳ Ｐゴシック"/>
        <family val="3"/>
        <charset val="128"/>
      </rPr>
      <t xml:space="preserve">
ウェッジよりもう少し伸びた所にフラッグのT/Lがある場合は、ウェッジはスルー</t>
    </r>
    <rPh sb="11" eb="12">
      <t>ホウ</t>
    </rPh>
    <rPh sb="13" eb="14">
      <t>ツヨ</t>
    </rPh>
    <rPh sb="25" eb="26">
      <t>スコ</t>
    </rPh>
    <rPh sb="27" eb="28">
      <t>ノ</t>
    </rPh>
    <rPh sb="30" eb="31">
      <t>トコロ</t>
    </rPh>
    <rPh sb="43" eb="45">
      <t>バアイ</t>
    </rPh>
    <phoneticPr fontId="2"/>
  </si>
  <si>
    <t>ウェッジよりフラッグの方が強い</t>
    <rPh sb="11" eb="12">
      <t>ホウ</t>
    </rPh>
    <rPh sb="13" eb="14">
      <t>ツヨ</t>
    </rPh>
    <phoneticPr fontId="2"/>
  </si>
  <si>
    <t>3月</t>
    <rPh sb="1" eb="2">
      <t>ガツ</t>
    </rPh>
    <phoneticPr fontId="2"/>
  </si>
  <si>
    <t>EURGBP</t>
    <phoneticPr fontId="2"/>
  </si>
  <si>
    <t>AUDCHF</t>
    <phoneticPr fontId="2"/>
  </si>
  <si>
    <t>03.07.05</t>
    <phoneticPr fontId="2"/>
  </si>
  <si>
    <t>03.08.16</t>
    <phoneticPr fontId="2"/>
  </si>
  <si>
    <t>03.09.12</t>
    <phoneticPr fontId="2"/>
  </si>
  <si>
    <t>03.09.15</t>
    <phoneticPr fontId="2"/>
  </si>
  <si>
    <t>03.08.03</t>
    <phoneticPr fontId="2"/>
  </si>
  <si>
    <t>03.08.19</t>
    <phoneticPr fontId="2"/>
  </si>
  <si>
    <t>03.09.17</t>
    <phoneticPr fontId="2"/>
  </si>
  <si>
    <t>drw</t>
    <phoneticPr fontId="2"/>
  </si>
  <si>
    <t>loss</t>
    <phoneticPr fontId="2"/>
  </si>
  <si>
    <t>3.7～</t>
    <phoneticPr fontId="2"/>
  </si>
  <si>
    <t>なかなかバチっとルールに当てはまる相場に出会えない⇒都合よく相場を見てしまいINして負けるパターンが目立つ。</t>
    <rPh sb="12" eb="13">
      <t>ア</t>
    </rPh>
    <rPh sb="17" eb="19">
      <t>ソウバ</t>
    </rPh>
    <rPh sb="20" eb="22">
      <t>デア</t>
    </rPh>
    <rPh sb="26" eb="28">
      <t>ツゴウ</t>
    </rPh>
    <rPh sb="30" eb="32">
      <t>ソウバ</t>
    </rPh>
    <rPh sb="33" eb="34">
      <t>ミ</t>
    </rPh>
    <rPh sb="42" eb="43">
      <t>マ</t>
    </rPh>
    <rPh sb="50" eb="52">
      <t>メダ</t>
    </rPh>
    <phoneticPr fontId="2"/>
  </si>
  <si>
    <t>笹田さんのセミナーで紹介されていたフラン円の流れに同意できたので、同じようにINして現在含み益が得られている。
しかし、自分のスクリーニングでは発見できていない相場であり、今回は完全におんぶにだっこ状態。</t>
    <rPh sb="0" eb="2">
      <t>ササダ</t>
    </rPh>
    <rPh sb="10" eb="12">
      <t>ショウカイ</t>
    </rPh>
    <rPh sb="20" eb="21">
      <t>エン</t>
    </rPh>
    <rPh sb="22" eb="23">
      <t>ナガ</t>
    </rPh>
    <rPh sb="25" eb="27">
      <t>ドウイ</t>
    </rPh>
    <rPh sb="33" eb="34">
      <t>オナ</t>
    </rPh>
    <rPh sb="42" eb="44">
      <t>ゲンザイ</t>
    </rPh>
    <rPh sb="44" eb="45">
      <t>フク</t>
    </rPh>
    <rPh sb="46" eb="47">
      <t>エキ</t>
    </rPh>
    <rPh sb="48" eb="49">
      <t>エ</t>
    </rPh>
    <rPh sb="60" eb="62">
      <t>ジブン</t>
    </rPh>
    <rPh sb="72" eb="74">
      <t>ハッケン</t>
    </rPh>
    <rPh sb="80" eb="82">
      <t>ソウバ</t>
    </rPh>
    <rPh sb="86" eb="88">
      <t>コンカイ</t>
    </rPh>
    <rPh sb="89" eb="91">
      <t>カンゼン</t>
    </rPh>
    <rPh sb="99" eb="101">
      <t>ジョウタイ</t>
    </rPh>
    <phoneticPr fontId="2"/>
  </si>
  <si>
    <t>改めてフラン円の相場環境を見ると、自分がいつも狙っているウェッジブレイクより全然上げる要素が多い。
のに今の自分は見逃している。。なんとかしたい！</t>
    <rPh sb="0" eb="1">
      <t>アラタ</t>
    </rPh>
    <rPh sb="6" eb="7">
      <t>エン</t>
    </rPh>
    <rPh sb="8" eb="10">
      <t>ソウバ</t>
    </rPh>
    <rPh sb="10" eb="12">
      <t>カンキョウ</t>
    </rPh>
    <rPh sb="13" eb="14">
      <t>ミ</t>
    </rPh>
    <rPh sb="17" eb="19">
      <t>ジブン</t>
    </rPh>
    <rPh sb="23" eb="24">
      <t>ネラ</t>
    </rPh>
    <rPh sb="38" eb="40">
      <t>ゼンゼン</t>
    </rPh>
    <rPh sb="40" eb="41">
      <t>ア</t>
    </rPh>
    <rPh sb="43" eb="45">
      <t>ヨウソ</t>
    </rPh>
    <rPh sb="46" eb="47">
      <t>オオ</t>
    </rPh>
    <rPh sb="52" eb="53">
      <t>イマ</t>
    </rPh>
    <rPh sb="54" eb="56">
      <t>ジブン</t>
    </rPh>
    <rPh sb="57" eb="59">
      <t>ミノガ</t>
    </rPh>
    <phoneticPr fontId="2"/>
  </si>
</sst>
</file>

<file path=xl/styles.xml><?xml version="1.0" encoding="utf-8"?>
<styleSheet xmlns="http://schemas.openxmlformats.org/spreadsheetml/2006/main">
  <numFmts count="9">
    <numFmt numFmtId="5" formatCode="&quot;¥&quot;#,##0;&quot;¥&quot;\-#,##0"/>
    <numFmt numFmtId="176" formatCode="0_ "/>
    <numFmt numFmtId="177" formatCode="0.0_);[Red]\(0.0\)"/>
    <numFmt numFmtId="178" formatCode="0_);[Red]\(0\)"/>
    <numFmt numFmtId="179" formatCode="0.00_ ;[Red]\-0.00\ "/>
    <numFmt numFmtId="180" formatCode="0.00_ "/>
    <numFmt numFmtId="181" formatCode="&quot;¥&quot;#,##0_);[Red]\(&quot;¥&quot;#,##0\)"/>
    <numFmt numFmtId="182" formatCode="[$-F800]dddd\,\ mmmm\ dd\,\ yyyy"/>
    <numFmt numFmtId="183" formatCode="yyyy\.mm\.dd\ hh:mm:"/>
  </numFmts>
  <fonts count="28">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9"/>
      <name val="ＭＳ Ｐゴシック"/>
      <family val="3"/>
      <charset val="128"/>
    </font>
    <font>
      <sz val="10"/>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
      <sz val="11"/>
      <color theme="3" tint="0.39997558519241921"/>
      <name val="ＭＳ Ｐゴシック"/>
      <family val="3"/>
      <charset val="128"/>
    </font>
    <font>
      <sz val="8"/>
      <color indexed="8"/>
      <name val="ＭＳ Ｐゴシック"/>
      <family val="3"/>
      <charset val="128"/>
    </font>
    <font>
      <sz val="9"/>
      <color indexed="8"/>
      <name val="ＭＳ Ｐゴシック"/>
      <family val="3"/>
      <charset val="128"/>
    </font>
    <font>
      <sz val="11"/>
      <color rgb="FFFF0000"/>
      <name val="ＭＳ Ｐゴシック"/>
      <family val="3"/>
      <charset val="128"/>
    </font>
    <font>
      <b/>
      <sz val="14"/>
      <color rgb="FFFF0000"/>
      <name val="ＭＳ Ｐゴシック"/>
      <family val="3"/>
      <charset val="128"/>
    </font>
    <font>
      <b/>
      <sz val="11"/>
      <color rgb="FFFFC000"/>
      <name val="ＭＳ Ｐゴシック"/>
      <family val="3"/>
      <charset val="128"/>
    </font>
  </fonts>
  <fills count="10">
    <fill>
      <patternFill patternType="none"/>
    </fill>
    <fill>
      <patternFill patternType="gray125"/>
    </fill>
    <fill>
      <patternFill patternType="solid">
        <fgColor indexed="53"/>
        <bgColor indexed="64"/>
      </patternFill>
    </fill>
    <fill>
      <patternFill patternType="solid">
        <fgColor indexed="42"/>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s>
  <borders count="57">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23">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0" fillId="0" borderId="0" xfId="0" applyFill="1">
      <alignmen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3" borderId="7" xfId="0" applyNumberFormat="1" applyFont="1" applyFill="1" applyBorder="1" applyAlignment="1" applyProtection="1">
      <alignment horizontal="left" vertical="center"/>
    </xf>
    <xf numFmtId="0" fontId="0" fillId="3" borderId="8" xfId="0" applyNumberFormat="1" applyFont="1" applyFill="1" applyBorder="1" applyAlignment="1" applyProtection="1">
      <alignment horizontal="center" vertical="center"/>
    </xf>
    <xf numFmtId="0" fontId="8" fillId="3" borderId="8" xfId="0" applyNumberFormat="1" applyFont="1" applyFill="1" applyBorder="1" applyAlignment="1" applyProtection="1">
      <alignment horizontal="center" vertical="center"/>
    </xf>
    <xf numFmtId="176" fontId="0" fillId="3" borderId="8" xfId="0" applyNumberFormat="1" applyFont="1" applyFill="1" applyBorder="1" applyAlignment="1" applyProtection="1">
      <alignment horizontal="center" vertical="center"/>
    </xf>
    <xf numFmtId="177" fontId="0" fillId="3" borderId="8" xfId="0" applyNumberFormat="1" applyFont="1" applyFill="1" applyBorder="1" applyAlignment="1" applyProtection="1">
      <alignment horizontal="center" vertical="center"/>
    </xf>
    <xf numFmtId="177" fontId="0" fillId="3" borderId="9" xfId="0" applyNumberFormat="1" applyFont="1" applyFill="1" applyBorder="1" applyAlignment="1" applyProtection="1">
      <alignment horizontal="center" vertical="center"/>
    </xf>
    <xf numFmtId="0" fontId="0" fillId="3" borderId="10" xfId="0" applyNumberFormat="1" applyFont="1" applyFill="1" applyBorder="1" applyAlignment="1" applyProtection="1">
      <alignment horizontal="center" vertical="center"/>
    </xf>
    <xf numFmtId="178" fontId="0" fillId="3" borderId="10" xfId="0" applyNumberFormat="1" applyFill="1" applyBorder="1" applyAlignment="1" applyProtection="1">
      <alignment horizontal="center" vertical="center"/>
    </xf>
    <xf numFmtId="176" fontId="0" fillId="0" borderId="0" xfId="0" applyNumberFormat="1">
      <alignment vertical="center"/>
    </xf>
    <xf numFmtId="176" fontId="0" fillId="0" borderId="0" xfId="0" applyNumberFormat="1" applyAlignment="1">
      <alignment horizontal="left"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0" fillId="0" borderId="0" xfId="0" applyBorder="1">
      <alignment vertical="center"/>
    </xf>
    <xf numFmtId="0" fontId="9" fillId="0" borderId="0" xfId="0" applyNumberFormat="1" applyFont="1" applyFill="1" applyBorder="1" applyAlignment="1" applyProtection="1">
      <alignment horizontal="center" vertical="center"/>
    </xf>
    <xf numFmtId="176" fontId="9" fillId="0" borderId="0" xfId="0" applyNumberFormat="1" applyFont="1" applyFill="1" applyBorder="1" applyAlignment="1" applyProtection="1">
      <alignment horizontal="left" vertical="center"/>
    </xf>
    <xf numFmtId="177" fontId="9" fillId="4" borderId="8" xfId="0" applyNumberFormat="1" applyFont="1" applyFill="1" applyBorder="1" applyAlignment="1" applyProtection="1">
      <alignment horizontal="center" vertical="center"/>
    </xf>
    <xf numFmtId="177" fontId="9" fillId="4" borderId="14" xfId="0" applyNumberFormat="1" applyFont="1" applyFill="1" applyBorder="1" applyAlignment="1" applyProtection="1">
      <alignment horizontal="left" vertical="center"/>
    </xf>
    <xf numFmtId="0" fontId="0" fillId="0" borderId="15" xfId="0" applyNumberFormat="1" applyFont="1" applyFill="1" applyBorder="1" applyAlignment="1" applyProtection="1">
      <alignment vertical="center"/>
    </xf>
    <xf numFmtId="0" fontId="8" fillId="0" borderId="16"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0" fillId="0" borderId="0" xfId="0" applyNumberFormat="1" applyFont="1" applyFill="1" applyBorder="1" applyAlignment="1" applyProtection="1">
      <alignment horizontal="left" vertical="center"/>
    </xf>
    <xf numFmtId="176" fontId="8" fillId="0" borderId="15"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6" xfId="0" applyNumberFormat="1" applyFont="1" applyFill="1" applyBorder="1" applyAlignment="1" applyProtection="1">
      <alignment horizontal="center" vertical="center"/>
    </xf>
    <xf numFmtId="177" fontId="0" fillId="0" borderId="19" xfId="0" applyNumberFormat="1" applyFont="1" applyFill="1" applyBorder="1" applyAlignment="1" applyProtection="1">
      <alignment horizontal="left" vertical="center"/>
    </xf>
    <xf numFmtId="0" fontId="0" fillId="0" borderId="20" xfId="0" applyNumberFormat="1" applyFont="1" applyFill="1" applyBorder="1" applyAlignment="1" applyProtection="1">
      <alignment vertical="center"/>
    </xf>
    <xf numFmtId="0" fontId="8" fillId="0" borderId="21" xfId="0" applyNumberFormat="1" applyFont="1" applyFill="1" applyBorder="1" applyAlignment="1" applyProtection="1">
      <alignment vertical="center"/>
    </xf>
    <xf numFmtId="176" fontId="8" fillId="0" borderId="20" xfId="0" applyNumberFormat="1" applyFont="1" applyFill="1" applyBorder="1" applyAlignment="1" applyProtection="1">
      <alignment vertical="center"/>
    </xf>
    <xf numFmtId="0" fontId="0" fillId="0" borderId="22"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18" xfId="0" applyNumberFormat="1" applyBorder="1">
      <alignment vertical="center"/>
    </xf>
    <xf numFmtId="177" fontId="0" fillId="0" borderId="23"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8" fillId="0" borderId="25" xfId="0" applyNumberFormat="1" applyFont="1" applyFill="1" applyBorder="1" applyAlignment="1" applyProtection="1">
      <alignment vertical="center"/>
    </xf>
    <xf numFmtId="177" fontId="0" fillId="0" borderId="26" xfId="0" applyNumberFormat="1" applyFont="1" applyFill="1" applyBorder="1" applyAlignment="1" applyProtection="1">
      <alignment horizontal="left" vertical="center"/>
    </xf>
    <xf numFmtId="179" fontId="8" fillId="0" borderId="21" xfId="0" applyNumberFormat="1" applyFont="1" applyFill="1" applyBorder="1" applyAlignment="1" applyProtection="1">
      <alignment vertical="center"/>
    </xf>
    <xf numFmtId="180" fontId="8" fillId="0" borderId="21"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9" fontId="8" fillId="0" borderId="28"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176" fontId="8" fillId="0" borderId="27" xfId="0" applyNumberFormat="1" applyFont="1" applyFill="1" applyBorder="1" applyAlignment="1" applyProtection="1">
      <alignment vertical="center"/>
    </xf>
    <xf numFmtId="0" fontId="0" fillId="0" borderId="31" xfId="0" applyNumberFormat="1" applyFont="1" applyFill="1" applyBorder="1" applyAlignment="1" applyProtection="1">
      <alignment horizontal="center" vertical="center"/>
    </xf>
    <xf numFmtId="177" fontId="0" fillId="0" borderId="28" xfId="0" applyNumberFormat="1" applyFont="1" applyFill="1" applyBorder="1" applyAlignment="1" applyProtection="1">
      <alignment horizontal="center" vertical="center"/>
    </xf>
    <xf numFmtId="177" fontId="0" fillId="0" borderId="32"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9" fillId="4" borderId="8" xfId="0" applyNumberFormat="1" applyFont="1" applyFill="1" applyBorder="1" applyAlignment="1" applyProtection="1">
      <alignment horizontal="center" vertical="center"/>
    </xf>
    <xf numFmtId="176" fontId="9" fillId="4" borderId="33" xfId="0" applyNumberFormat="1" applyFont="1" applyFill="1" applyBorder="1" applyAlignment="1" applyProtection="1">
      <alignment horizontal="left" vertical="center"/>
    </xf>
    <xf numFmtId="0" fontId="9" fillId="4" borderId="10" xfId="0" applyNumberFormat="1" applyFont="1" applyFill="1" applyBorder="1" applyAlignment="1" applyProtection="1">
      <alignment horizontal="center" vertical="center"/>
    </xf>
    <xf numFmtId="176" fontId="0" fillId="0" borderId="15" xfId="0" applyNumberFormat="1" applyFont="1" applyFill="1" applyBorder="1" applyAlignment="1" applyProtection="1">
      <alignment vertical="center"/>
    </xf>
    <xf numFmtId="0" fontId="0" fillId="0" borderId="16" xfId="0" applyNumberFormat="1" applyFont="1" applyFill="1" applyBorder="1" applyAlignment="1" applyProtection="1">
      <alignment horizontal="center" vertical="center"/>
    </xf>
    <xf numFmtId="176" fontId="0" fillId="0" borderId="34" xfId="0" applyNumberFormat="1" applyFont="1" applyFill="1" applyBorder="1" applyAlignment="1" applyProtection="1">
      <alignment horizontal="left" vertical="center"/>
    </xf>
    <xf numFmtId="0" fontId="0" fillId="0" borderId="35" xfId="0" applyNumberFormat="1" applyFont="1" applyFill="1" applyBorder="1" applyAlignment="1" applyProtection="1">
      <alignment horizontal="center" vertical="center"/>
    </xf>
    <xf numFmtId="176" fontId="0" fillId="0" borderId="20" xfId="0" applyNumberFormat="1" applyFont="1" applyFill="1" applyBorder="1" applyAlignment="1" applyProtection="1">
      <alignment vertical="center"/>
    </xf>
    <xf numFmtId="176" fontId="0" fillId="0" borderId="21" xfId="0" applyNumberFormat="1" applyFont="1" applyFill="1" applyBorder="1" applyAlignment="1" applyProtection="1">
      <alignment horizontal="left" vertical="center"/>
    </xf>
    <xf numFmtId="0" fontId="0" fillId="0" borderId="36" xfId="0" applyNumberFormat="1" applyFont="1" applyFill="1" applyBorder="1" applyAlignment="1" applyProtection="1">
      <alignment horizontal="center" vertical="center"/>
    </xf>
    <xf numFmtId="176" fontId="0" fillId="0" borderId="37" xfId="0" applyNumberFormat="1" applyFont="1" applyFill="1" applyBorder="1" applyAlignment="1" applyProtection="1">
      <alignment vertical="center"/>
    </xf>
    <xf numFmtId="0" fontId="0" fillId="0" borderId="1" xfId="0" applyNumberFormat="1" applyFont="1" applyFill="1" applyBorder="1" applyAlignment="1" applyProtection="1">
      <alignment horizontal="center" vertical="center"/>
    </xf>
    <xf numFmtId="176" fontId="0" fillId="0" borderId="38" xfId="0" applyNumberFormat="1" applyFont="1" applyFill="1" applyBorder="1" applyAlignment="1" applyProtection="1">
      <alignment horizontal="left" vertical="center"/>
    </xf>
    <xf numFmtId="0" fontId="0" fillId="0" borderId="39" xfId="0" applyNumberFormat="1" applyFont="1" applyFill="1" applyBorder="1" applyAlignment="1" applyProtection="1">
      <alignment horizontal="center" vertical="center"/>
    </xf>
    <xf numFmtId="176" fontId="0" fillId="0" borderId="22" xfId="0" applyNumberFormat="1" applyFont="1" applyFill="1" applyBorder="1" applyAlignment="1" applyProtection="1">
      <alignment vertical="center"/>
    </xf>
    <xf numFmtId="0" fontId="0" fillId="0" borderId="22" xfId="0" applyNumberFormat="1" applyFont="1" applyFill="1" applyBorder="1" applyAlignment="1" applyProtection="1">
      <alignment vertical="center"/>
    </xf>
    <xf numFmtId="0" fontId="0" fillId="0" borderId="40" xfId="0" applyNumberFormat="1" applyFont="1" applyFill="1" applyBorder="1" applyAlignment="1" applyProtection="1">
      <alignment vertical="center"/>
    </xf>
    <xf numFmtId="0" fontId="0" fillId="0" borderId="41" xfId="0" applyBorder="1">
      <alignment vertical="center"/>
    </xf>
    <xf numFmtId="0" fontId="0" fillId="0" borderId="22" xfId="0" applyNumberFormat="1" applyFill="1" applyBorder="1" applyAlignment="1" applyProtection="1">
      <alignment vertical="center"/>
    </xf>
    <xf numFmtId="0" fontId="0" fillId="0" borderId="22" xfId="0" applyBorder="1" applyAlignment="1">
      <alignment vertical="center"/>
    </xf>
    <xf numFmtId="0" fontId="0" fillId="0" borderId="42" xfId="0" applyBorder="1">
      <alignment vertical="center"/>
    </xf>
    <xf numFmtId="0" fontId="0" fillId="0" borderId="3" xfId="0" applyFill="1" applyBorder="1" applyAlignment="1">
      <alignment vertical="center"/>
    </xf>
    <xf numFmtId="0" fontId="0" fillId="0" borderId="22" xfId="0" applyFill="1" applyBorder="1" applyAlignment="1">
      <alignment vertical="center"/>
    </xf>
    <xf numFmtId="0" fontId="0" fillId="0" borderId="0" xfId="0" applyAlignment="1">
      <alignment vertical="center"/>
    </xf>
    <xf numFmtId="0" fontId="0" fillId="0" borderId="0" xfId="0" applyAlignment="1">
      <alignment horizontal="right" vertical="center"/>
    </xf>
    <xf numFmtId="178" fontId="0" fillId="0" borderId="0" xfId="0" applyNumberFormat="1" applyFill="1" applyBorder="1" applyAlignment="1" applyProtection="1">
      <alignment horizontal="right" vertical="center"/>
    </xf>
    <xf numFmtId="0" fontId="0" fillId="0" borderId="0" xfId="0" applyFill="1" applyAlignment="1">
      <alignment horizontal="right" vertical="center"/>
    </xf>
    <xf numFmtId="14" fontId="0" fillId="0" borderId="0" xfId="0" applyNumberFormat="1">
      <alignment vertical="center"/>
    </xf>
    <xf numFmtId="0" fontId="0" fillId="0" borderId="42" xfId="0" applyFill="1" applyBorder="1">
      <alignment vertical="center"/>
    </xf>
    <xf numFmtId="0" fontId="5" fillId="0" borderId="22"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3" xfId="0" applyFont="1" applyBorder="1" applyAlignment="1">
      <alignment vertical="center" wrapText="1"/>
    </xf>
    <xf numFmtId="0" fontId="5" fillId="0" borderId="22" xfId="0" applyFont="1" applyBorder="1" applyAlignment="1">
      <alignment horizontal="lef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0" fontId="12" fillId="0" borderId="0" xfId="0" applyFont="1" applyAlignment="1">
      <alignment horizontal="left" vertical="center" wrapText="1"/>
    </xf>
    <xf numFmtId="0" fontId="12" fillId="0" borderId="22" xfId="0" applyFont="1" applyBorder="1" applyAlignment="1">
      <alignment vertical="center" wrapText="1"/>
    </xf>
    <xf numFmtId="0" fontId="12" fillId="0" borderId="0" xfId="0" applyFont="1" applyAlignment="1">
      <alignment horizontal="left" vertical="center"/>
    </xf>
    <xf numFmtId="0" fontId="13" fillId="0" borderId="0" xfId="0" applyNumberFormat="1" applyFont="1" applyFill="1" applyBorder="1" applyAlignment="1" applyProtection="1">
      <alignment horizontal="left" vertical="center"/>
    </xf>
    <xf numFmtId="0" fontId="14" fillId="0" borderId="0" xfId="0" applyFont="1">
      <alignment vertical="center"/>
    </xf>
    <xf numFmtId="0" fontId="14" fillId="5" borderId="42" xfId="0" applyFont="1" applyFill="1" applyBorder="1">
      <alignment vertical="center"/>
    </xf>
    <xf numFmtId="0" fontId="14" fillId="5" borderId="3" xfId="0" applyFont="1" applyFill="1" applyBorder="1">
      <alignment vertical="center"/>
    </xf>
    <xf numFmtId="0" fontId="14" fillId="5" borderId="3" xfId="0" applyFont="1" applyFill="1" applyBorder="1" applyAlignment="1">
      <alignment vertical="center" wrapText="1"/>
    </xf>
    <xf numFmtId="0" fontId="14" fillId="5" borderId="16" xfId="0" applyFont="1" applyFill="1" applyBorder="1" applyAlignment="1">
      <alignment vertical="center" wrapText="1"/>
    </xf>
    <xf numFmtId="0" fontId="14" fillId="0" borderId="44" xfId="0" applyFont="1" applyBorder="1">
      <alignment vertical="center"/>
    </xf>
    <xf numFmtId="181" fontId="14" fillId="0" borderId="45" xfId="0" applyNumberFormat="1" applyFont="1" applyBorder="1">
      <alignment vertical="center"/>
    </xf>
    <xf numFmtId="0" fontId="14" fillId="0" borderId="45" xfId="0" applyFont="1" applyBorder="1">
      <alignment vertical="center"/>
    </xf>
    <xf numFmtId="0" fontId="14" fillId="0" borderId="46" xfId="0" applyFont="1" applyBorder="1">
      <alignment vertical="center"/>
    </xf>
    <xf numFmtId="9" fontId="14" fillId="0" borderId="46" xfId="0" applyNumberFormat="1" applyFont="1" applyBorder="1">
      <alignment vertical="center"/>
    </xf>
    <xf numFmtId="181" fontId="14" fillId="0" borderId="46" xfId="0" applyNumberFormat="1" applyFont="1" applyBorder="1">
      <alignment vertical="center"/>
    </xf>
    <xf numFmtId="0" fontId="14" fillId="0" borderId="48" xfId="0" applyFont="1" applyBorder="1">
      <alignment vertical="center"/>
    </xf>
    <xf numFmtId="181" fontId="14" fillId="0" borderId="49" xfId="0" applyNumberFormat="1" applyFont="1" applyBorder="1">
      <alignment vertical="center"/>
    </xf>
    <xf numFmtId="0" fontId="14" fillId="0" borderId="49" xfId="0" applyFont="1" applyBorder="1">
      <alignment vertical="center"/>
    </xf>
    <xf numFmtId="9" fontId="14" fillId="0" borderId="49" xfId="0" applyNumberFormat="1" applyFont="1" applyBorder="1">
      <alignment vertical="center"/>
    </xf>
    <xf numFmtId="0" fontId="14" fillId="0" borderId="51" xfId="0" applyFont="1" applyBorder="1">
      <alignment vertical="center"/>
    </xf>
    <xf numFmtId="9" fontId="14" fillId="0" borderId="52" xfId="0" applyNumberFormat="1" applyFont="1" applyBorder="1">
      <alignment vertical="center"/>
    </xf>
    <xf numFmtId="181" fontId="14" fillId="0" borderId="52" xfId="0" applyNumberFormat="1" applyFont="1" applyBorder="1">
      <alignment vertical="center"/>
    </xf>
    <xf numFmtId="0" fontId="14" fillId="5" borderId="22" xfId="0" applyFont="1" applyFill="1" applyBorder="1">
      <alignment vertical="center"/>
    </xf>
    <xf numFmtId="181" fontId="14" fillId="6" borderId="22" xfId="0" applyNumberFormat="1" applyFont="1" applyFill="1" applyBorder="1">
      <alignment vertical="center"/>
    </xf>
    <xf numFmtId="0" fontId="14" fillId="6" borderId="22" xfId="0" applyFont="1" applyFill="1" applyBorder="1">
      <alignment vertical="center"/>
    </xf>
    <xf numFmtId="9" fontId="14" fillId="0" borderId="3" xfId="0" applyNumberFormat="1" applyFont="1" applyBorder="1">
      <alignment vertical="center"/>
    </xf>
    <xf numFmtId="181" fontId="14" fillId="0" borderId="0" xfId="0" applyNumberFormat="1" applyFont="1">
      <alignment vertical="center"/>
    </xf>
    <xf numFmtId="9" fontId="14" fillId="6" borderId="22" xfId="0" applyNumberFormat="1" applyFont="1" applyFill="1" applyBorder="1">
      <alignment vertical="center"/>
    </xf>
    <xf numFmtId="0" fontId="14" fillId="5" borderId="22" xfId="0" applyFont="1" applyFill="1" applyBorder="1" applyAlignment="1">
      <alignment vertical="center" wrapText="1"/>
    </xf>
    <xf numFmtId="180" fontId="14" fillId="0" borderId="46" xfId="0" applyNumberFormat="1" applyFont="1" applyBorder="1">
      <alignment vertical="center"/>
    </xf>
    <xf numFmtId="180" fontId="14" fillId="0" borderId="47" xfId="0" applyNumberFormat="1" applyFont="1" applyBorder="1">
      <alignment vertical="center"/>
    </xf>
    <xf numFmtId="180" fontId="14" fillId="0" borderId="49" xfId="0" applyNumberFormat="1" applyFont="1" applyBorder="1">
      <alignment vertical="center"/>
    </xf>
    <xf numFmtId="180" fontId="14" fillId="0" borderId="50" xfId="0" applyNumberFormat="1" applyFont="1" applyBorder="1">
      <alignment vertical="center"/>
    </xf>
    <xf numFmtId="180" fontId="14" fillId="0" borderId="52" xfId="0" applyNumberFormat="1" applyFont="1" applyBorder="1">
      <alignment vertical="center"/>
    </xf>
    <xf numFmtId="180" fontId="14" fillId="0" borderId="53" xfId="0" applyNumberFormat="1" applyFont="1" applyBorder="1">
      <alignment vertical="center"/>
    </xf>
    <xf numFmtId="180" fontId="14" fillId="6" borderId="22" xfId="0" applyNumberFormat="1" applyFont="1" applyFill="1" applyBorder="1">
      <alignment vertical="center"/>
    </xf>
    <xf numFmtId="0" fontId="17" fillId="0" borderId="0" xfId="0" applyFont="1">
      <alignment vertical="center"/>
    </xf>
    <xf numFmtId="0" fontId="18" fillId="7" borderId="0" xfId="0" applyFont="1" applyFill="1">
      <alignment vertical="center"/>
    </xf>
    <xf numFmtId="0" fontId="18" fillId="7" borderId="0" xfId="0" applyFont="1" applyFill="1" applyAlignment="1">
      <alignment vertical="center" wrapText="1"/>
    </xf>
    <xf numFmtId="55" fontId="14" fillId="0" borderId="0" xfId="0" applyNumberFormat="1" applyFont="1">
      <alignment vertical="center"/>
    </xf>
    <xf numFmtId="9" fontId="14" fillId="0" borderId="0" xfId="0" applyNumberFormat="1" applyFont="1">
      <alignment vertical="center"/>
    </xf>
    <xf numFmtId="5" fontId="14" fillId="0" borderId="0" xfId="0" applyNumberFormat="1" applyFont="1">
      <alignment vertical="center"/>
    </xf>
    <xf numFmtId="0" fontId="0" fillId="9" borderId="0" xfId="0" applyFill="1">
      <alignment vertical="center"/>
    </xf>
    <xf numFmtId="183" fontId="0" fillId="0" borderId="0" xfId="0" applyNumberFormat="1" applyAlignment="1">
      <alignment horizontal="left" vertical="center"/>
    </xf>
    <xf numFmtId="0" fontId="5" fillId="0" borderId="22" xfId="0" applyFont="1" applyBorder="1" applyAlignment="1">
      <alignment vertical="center" wrapText="1"/>
    </xf>
    <xf numFmtId="14" fontId="5" fillId="0" borderId="0" xfId="0" applyNumberFormat="1" applyFont="1" applyAlignment="1">
      <alignment horizontal="left" vertical="center"/>
    </xf>
    <xf numFmtId="0" fontId="5" fillId="0" borderId="22" xfId="0" applyFont="1" applyBorder="1" applyAlignment="1">
      <alignment vertical="center" wrapText="1"/>
    </xf>
    <xf numFmtId="0" fontId="20" fillId="0" borderId="22" xfId="0" applyFont="1" applyBorder="1" applyAlignment="1">
      <alignment vertical="center" wrapText="1"/>
    </xf>
    <xf numFmtId="0" fontId="21"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2" fillId="0" borderId="3" xfId="0" applyFont="1" applyBorder="1" applyAlignment="1">
      <alignment vertical="center" wrapText="1"/>
    </xf>
    <xf numFmtId="0" fontId="0" fillId="0" borderId="22" xfId="0" applyFill="1" applyBorder="1" applyAlignment="1">
      <alignment vertical="center" wrapText="1"/>
    </xf>
    <xf numFmtId="0" fontId="23" fillId="0" borderId="0" xfId="0" applyFont="1" applyAlignment="1">
      <alignment horizontal="left" vertical="center"/>
    </xf>
    <xf numFmtId="0" fontId="20" fillId="0" borderId="3" xfId="0" applyFont="1" applyBorder="1" applyAlignment="1">
      <alignment vertical="center" wrapText="1"/>
    </xf>
    <xf numFmtId="178" fontId="0" fillId="0" borderId="0" xfId="0" applyNumberFormat="1" applyFill="1">
      <alignment vertical="center"/>
    </xf>
    <xf numFmtId="0" fontId="0" fillId="0" borderId="0" xfId="0" applyFill="1" applyAlignment="1">
      <alignment horizontal="center" vertical="center"/>
    </xf>
    <xf numFmtId="0" fontId="8" fillId="0" borderId="0" xfId="0" applyNumberFormat="1" applyFont="1" applyFill="1" applyBorder="1" applyAlignment="1" applyProtection="1">
      <alignment horizontal="center" vertical="center"/>
    </xf>
    <xf numFmtId="177" fontId="0" fillId="0" borderId="0" xfId="0" applyNumberFormat="1" applyFont="1" applyFill="1" applyBorder="1" applyAlignment="1" applyProtection="1">
      <alignment horizontal="center" vertical="center"/>
    </xf>
    <xf numFmtId="0" fontId="0" fillId="0" borderId="0" xfId="0" applyNumberFormat="1" applyFill="1" applyBorder="1" applyAlignment="1" applyProtection="1">
      <alignment horizontal="left" vertical="center"/>
    </xf>
    <xf numFmtId="0" fontId="0" fillId="0" borderId="0" xfId="0" applyNumberFormat="1" applyFill="1" applyBorder="1" applyAlignment="1" applyProtection="1">
      <alignment horizontal="center" vertical="center"/>
    </xf>
    <xf numFmtId="0" fontId="0" fillId="3" borderId="8" xfId="0" applyNumberFormat="1" applyFont="1" applyFill="1" applyBorder="1" applyAlignment="1" applyProtection="1">
      <alignment horizontal="right" vertical="center"/>
    </xf>
    <xf numFmtId="0" fontId="0" fillId="0" borderId="0" xfId="0" applyNumberFormat="1" applyFill="1" applyBorder="1" applyAlignment="1" applyProtection="1">
      <alignment horizontal="right" vertical="center"/>
    </xf>
    <xf numFmtId="0" fontId="0" fillId="0" borderId="0" xfId="0" applyNumberFormat="1" applyFont="1" applyFill="1" applyBorder="1" applyAlignment="1" applyProtection="1">
      <alignment horizontal="right" vertical="center"/>
    </xf>
    <xf numFmtId="176" fontId="0" fillId="0" borderId="0" xfId="0" applyNumberFormat="1" applyFill="1" applyBorder="1" applyAlignment="1" applyProtection="1">
      <alignment horizontal="left" vertical="center"/>
    </xf>
    <xf numFmtId="0" fontId="0" fillId="0" borderId="0" xfId="0" applyFill="1" applyBorder="1" applyAlignment="1">
      <alignment horizontal="center" vertical="center"/>
    </xf>
    <xf numFmtId="177" fontId="0" fillId="0" borderId="0" xfId="0" applyNumberFormat="1" applyFont="1" applyFill="1" applyBorder="1" applyAlignment="1" applyProtection="1">
      <alignment horizontal="right" vertical="center"/>
    </xf>
    <xf numFmtId="0" fontId="5" fillId="0" borderId="22" xfId="0" applyFont="1" applyBorder="1" applyAlignment="1">
      <alignment vertical="center" wrapText="1"/>
    </xf>
    <xf numFmtId="0" fontId="26" fillId="0" borderId="22" xfId="0" applyFont="1" applyBorder="1" applyAlignment="1">
      <alignment vertical="center" wrapText="1"/>
    </xf>
    <xf numFmtId="0" fontId="27" fillId="0" borderId="22" xfId="0" applyFont="1" applyBorder="1" applyAlignment="1">
      <alignment vertical="center" wrapText="1"/>
    </xf>
    <xf numFmtId="0" fontId="5" fillId="0" borderId="22" xfId="0" applyFont="1" applyBorder="1" applyAlignment="1">
      <alignment vertical="center" wrapText="1"/>
    </xf>
    <xf numFmtId="0" fontId="5" fillId="0" borderId="0" xfId="0" applyFont="1" applyAlignment="1">
      <alignment horizontal="center" vertical="center"/>
    </xf>
    <xf numFmtId="0" fontId="0" fillId="0" borderId="0" xfId="0" applyNumberFormat="1" applyFont="1" applyFill="1" applyBorder="1" applyAlignment="1" applyProtection="1">
      <alignment horizontal="left" vertical="center"/>
    </xf>
    <xf numFmtId="176" fontId="0" fillId="0" borderId="0" xfId="0" applyNumberFormat="1" applyFont="1" applyFill="1" applyBorder="1" applyAlignment="1" applyProtection="1">
      <alignment horizontal="center" vertical="center"/>
    </xf>
    <xf numFmtId="178" fontId="0" fillId="0" borderId="0" xfId="0" applyNumberFormat="1" applyFill="1" applyBorder="1" applyAlignment="1" applyProtection="1">
      <alignment horizontal="center" vertical="center"/>
    </xf>
    <xf numFmtId="177" fontId="0" fillId="0" borderId="0" xfId="0" applyNumberFormat="1" applyFill="1" applyBorder="1" applyAlignment="1" applyProtection="1">
      <alignment vertical="center"/>
    </xf>
    <xf numFmtId="0" fontId="0" fillId="0" borderId="22" xfId="0" applyBorder="1" applyAlignment="1">
      <alignment vertical="center" wrapText="1"/>
    </xf>
    <xf numFmtId="0" fontId="0" fillId="0" borderId="22" xfId="0" applyBorder="1" applyAlignment="1">
      <alignment vertical="center"/>
    </xf>
    <xf numFmtId="0" fontId="0" fillId="0" borderId="56" xfId="0" applyFill="1" applyBorder="1" applyAlignment="1">
      <alignment vertical="center"/>
    </xf>
    <xf numFmtId="0" fontId="0" fillId="0" borderId="42" xfId="0" applyFill="1" applyBorder="1" applyAlignment="1">
      <alignment vertical="center"/>
    </xf>
    <xf numFmtId="0" fontId="0" fillId="0" borderId="1" xfId="0" applyFill="1" applyBorder="1" applyAlignment="1">
      <alignment vertical="center"/>
    </xf>
    <xf numFmtId="0" fontId="0" fillId="0" borderId="3" xfId="0" applyBorder="1" applyAlignment="1">
      <alignment vertical="center"/>
    </xf>
    <xf numFmtId="0" fontId="0" fillId="0" borderId="1" xfId="0" applyFill="1" applyBorder="1" applyAlignment="1">
      <alignment vertical="center" wrapText="1"/>
    </xf>
    <xf numFmtId="0" fontId="5" fillId="0" borderId="54" xfId="0" applyFont="1" applyFill="1" applyBorder="1" applyAlignment="1">
      <alignment vertical="center"/>
    </xf>
    <xf numFmtId="0" fontId="0" fillId="0" borderId="54" xfId="0" applyFill="1" applyBorder="1" applyAlignment="1">
      <alignment vertical="center"/>
    </xf>
    <xf numFmtId="0" fontId="0" fillId="0" borderId="55" xfId="0" applyFill="1" applyBorder="1" applyAlignment="1">
      <alignment vertical="center"/>
    </xf>
    <xf numFmtId="0" fontId="0" fillId="0" borderId="22" xfId="0" applyBorder="1" applyAlignment="1">
      <alignment horizontal="center" vertical="center"/>
    </xf>
    <xf numFmtId="0" fontId="0" fillId="0" borderId="3" xfId="0" applyBorder="1" applyAlignment="1">
      <alignment vertical="center" wrapText="1"/>
    </xf>
    <xf numFmtId="0" fontId="5" fillId="0" borderId="22" xfId="0" applyFont="1" applyBorder="1" applyAlignment="1">
      <alignment vertical="center" wrapText="1"/>
    </xf>
    <xf numFmtId="0" fontId="0" fillId="0" borderId="22" xfId="0" applyFill="1" applyBorder="1" applyAlignment="1">
      <alignment vertical="center" wrapText="1"/>
    </xf>
    <xf numFmtId="0" fontId="0" fillId="0" borderId="22" xfId="0" applyFill="1" applyBorder="1" applyAlignment="1">
      <alignment vertical="center"/>
    </xf>
    <xf numFmtId="0" fontId="0" fillId="2" borderId="56" xfId="0" applyFill="1" applyBorder="1" applyAlignment="1">
      <alignment vertical="center"/>
    </xf>
    <xf numFmtId="0" fontId="0" fillId="0" borderId="42" xfId="0"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9" fillId="4" borderId="11" xfId="0" applyNumberFormat="1" applyFont="1" applyFill="1" applyBorder="1" applyAlignment="1" applyProtection="1">
      <alignment horizontal="center" vertical="center"/>
    </xf>
    <xf numFmtId="0" fontId="9" fillId="4" borderId="12" xfId="0" applyNumberFormat="1" applyFont="1" applyFill="1" applyBorder="1" applyAlignment="1" applyProtection="1">
      <alignment horizontal="center" vertical="center"/>
    </xf>
    <xf numFmtId="0" fontId="0" fillId="0" borderId="12" xfId="0" applyBorder="1" applyAlignment="1">
      <alignment vertical="center"/>
    </xf>
    <xf numFmtId="0" fontId="0" fillId="0" borderId="13" xfId="0" applyBorder="1" applyAlignment="1">
      <alignment vertical="center"/>
    </xf>
    <xf numFmtId="0" fontId="9" fillId="4" borderId="7" xfId="0" applyNumberFormat="1" applyFont="1" applyFill="1" applyBorder="1" applyAlignment="1" applyProtection="1">
      <alignment horizontal="center" vertical="center"/>
    </xf>
    <xf numFmtId="0" fontId="9" fillId="4" borderId="8" xfId="0" applyNumberFormat="1" applyFont="1" applyFill="1" applyBorder="1" applyAlignment="1" applyProtection="1">
      <alignment horizontal="center" vertical="center"/>
    </xf>
    <xf numFmtId="0" fontId="0" fillId="0" borderId="17" xfId="0" applyBorder="1" applyAlignment="1">
      <alignment horizontal="right" vertical="center"/>
    </xf>
    <xf numFmtId="0" fontId="0" fillId="0" borderId="18" xfId="0" applyBorder="1" applyAlignment="1">
      <alignment horizontal="right" vertical="center"/>
    </xf>
    <xf numFmtId="9" fontId="0" fillId="0" borderId="29" xfId="0" applyNumberFormat="1" applyBorder="1" applyAlignment="1">
      <alignment vertical="center"/>
    </xf>
    <xf numFmtId="0" fontId="0" fillId="0" borderId="30" xfId="0" applyBorder="1" applyAlignment="1">
      <alignment vertical="center"/>
    </xf>
    <xf numFmtId="0" fontId="11" fillId="0" borderId="41" xfId="0" applyFont="1" applyBorder="1" applyAlignment="1">
      <alignment horizontal="center" vertical="center" wrapText="1"/>
    </xf>
    <xf numFmtId="0" fontId="0" fillId="0" borderId="41" xfId="0" applyBorder="1" applyAlignment="1">
      <alignment horizontal="center" vertical="center" wrapText="1"/>
    </xf>
    <xf numFmtId="0" fontId="14" fillId="5" borderId="21" xfId="0" applyFont="1" applyFill="1" applyBorder="1" applyAlignment="1">
      <alignment horizontal="center" vertical="center"/>
    </xf>
    <xf numFmtId="0" fontId="14" fillId="5" borderId="54" xfId="0" applyFont="1" applyFill="1" applyBorder="1" applyAlignment="1">
      <alignment horizontal="center" vertical="center"/>
    </xf>
    <xf numFmtId="0" fontId="14" fillId="5" borderId="55" xfId="0" applyFont="1" applyFill="1" applyBorder="1" applyAlignment="1">
      <alignment horizontal="center" vertical="center"/>
    </xf>
    <xf numFmtId="0" fontId="14" fillId="5" borderId="22" xfId="0" applyFont="1" applyFill="1" applyBorder="1" applyAlignment="1">
      <alignment horizontal="center" vertical="center" wrapText="1"/>
    </xf>
    <xf numFmtId="0" fontId="14" fillId="5" borderId="22" xfId="0" applyFont="1" applyFill="1" applyBorder="1" applyAlignment="1">
      <alignment horizontal="center" vertical="center"/>
    </xf>
    <xf numFmtId="0" fontId="19" fillId="8" borderId="22" xfId="0" applyFont="1" applyFill="1" applyBorder="1" applyAlignment="1">
      <alignment horizontal="center" vertical="center"/>
    </xf>
    <xf numFmtId="5" fontId="14" fillId="0" borderId="22" xfId="0" applyNumberFormat="1" applyFont="1" applyBorder="1" applyAlignment="1">
      <alignment horizontal="center" vertical="center"/>
    </xf>
    <xf numFmtId="5" fontId="14" fillId="6" borderId="22" xfId="0" applyNumberFormat="1" applyFont="1" applyFill="1" applyBorder="1" applyAlignment="1">
      <alignment horizontal="center" vertical="center"/>
    </xf>
    <xf numFmtId="182" fontId="14" fillId="0" borderId="22" xfId="0" applyNumberFormat="1" applyFont="1" applyBorder="1" applyAlignment="1">
      <alignment horizontal="center" vertical="center"/>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20380</c:v>
                </c:pt>
                <c:pt idx="1">
                  <c:v>18155</c:v>
                </c:pt>
                <c:pt idx="2">
                  <c:v>0</c:v>
                </c:pt>
                <c:pt idx="3">
                  <c:v>0</c:v>
                </c:pt>
                <c:pt idx="4">
                  <c:v>0</c:v>
                </c:pt>
                <c:pt idx="5">
                  <c:v>0</c:v>
                </c:pt>
                <c:pt idx="6">
                  <c:v>4168</c:v>
                </c:pt>
                <c:pt idx="7">
                  <c:v>24026</c:v>
                </c:pt>
                <c:pt idx="8">
                  <c:v>0</c:v>
                </c:pt>
                <c:pt idx="9">
                  <c:v>0</c:v>
                </c:pt>
                <c:pt idx="10">
                  <c:v>8266</c:v>
                </c:pt>
                <c:pt idx="11">
                  <c:v>4160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14320</c:v>
                </c:pt>
                <c:pt idx="1">
                  <c:v>0</c:v>
                </c:pt>
                <c:pt idx="2">
                  <c:v>0</c:v>
                </c:pt>
                <c:pt idx="3">
                  <c:v>22190</c:v>
                </c:pt>
                <c:pt idx="4">
                  <c:v>49930</c:v>
                </c:pt>
                <c:pt idx="5">
                  <c:v>6322</c:v>
                </c:pt>
                <c:pt idx="6">
                  <c:v>11171</c:v>
                </c:pt>
                <c:pt idx="7">
                  <c:v>0</c:v>
                </c:pt>
                <c:pt idx="8">
                  <c:v>21772</c:v>
                </c:pt>
                <c:pt idx="9">
                  <c:v>4572</c:v>
                </c:pt>
                <c:pt idx="10">
                  <c:v>11711</c:v>
                </c:pt>
                <c:pt idx="11">
                  <c:v>0</c:v>
                </c:pt>
                <c:pt idx="12">
                  <c:v>0</c:v>
                </c:pt>
                <c:pt idx="13">
                  <c:v>24328</c:v>
                </c:pt>
                <c:pt idx="14">
                  <c:v>0</c:v>
                </c:pt>
                <c:pt idx="15">
                  <c:v>0</c:v>
                </c:pt>
                <c:pt idx="16">
                  <c:v>0</c:v>
                </c:pt>
                <c:pt idx="17">
                  <c:v>9553</c:v>
                </c:pt>
                <c:pt idx="18">
                  <c:v>0</c:v>
                </c:pt>
                <c:pt idx="19">
                  <c:v>0</c:v>
                </c:pt>
                <c:pt idx="20">
                  <c:v>0</c:v>
                </c:pt>
                <c:pt idx="21">
                  <c:v>0</c:v>
                </c:pt>
                <c:pt idx="22">
                  <c:v>0</c:v>
                </c:pt>
                <c:pt idx="23">
                  <c:v>0</c:v>
                </c:pt>
                <c:pt idx="24">
                  <c:v>0</c:v>
                </c:pt>
                <c:pt idx="25">
                  <c:v>0</c:v>
                </c:pt>
                <c:pt idx="26">
                  <c:v>20329</c:v>
                </c:pt>
                <c:pt idx="27">
                  <c:v>23121</c:v>
                </c:pt>
              </c:numCache>
            </c:numRef>
          </c:val>
        </c:ser>
        <c:axId val="80732544"/>
        <c:axId val="80734080"/>
      </c:barChart>
      <c:catAx>
        <c:axId val="80732544"/>
        <c:scaling>
          <c:orientation val="minMax"/>
        </c:scaling>
        <c:axPos val="b"/>
        <c:majorTickMark val="none"/>
        <c:tickLblPos val="nextTo"/>
        <c:crossAx val="80734080"/>
        <c:crosses val="autoZero"/>
        <c:auto val="1"/>
        <c:lblAlgn val="ctr"/>
        <c:lblOffset val="100"/>
      </c:catAx>
      <c:valAx>
        <c:axId val="80734080"/>
        <c:scaling>
          <c:orientation val="minMax"/>
        </c:scaling>
        <c:axPos val="l"/>
        <c:majorGridlines/>
        <c:numFmt formatCode="&quot;¥&quot;#,##0;[Red]\-&quot;¥&quot;#,##0" sourceLinked="1"/>
        <c:majorTickMark val="none"/>
        <c:tickLblPos val="nextTo"/>
        <c:crossAx val="80732544"/>
        <c:crosses val="autoZero"/>
        <c:crossBetween val="between"/>
      </c:valAx>
    </c:plotArea>
    <c:legend>
      <c:legendPos val="r"/>
    </c:legend>
    <c:plotVisOnly val="1"/>
    <c:dispBlanksAs val="gap"/>
  </c:chart>
  <c:printSettings>
    <c:headerFooter/>
    <c:pageMargins b="0.75000000000000777" l="0.70000000000000062" r="0.70000000000000062" t="0.750000000000007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title>
    <c:plotArea>
      <c:layout>
        <c:manualLayout>
          <c:layoutTarget val="inner"/>
          <c:xMode val="edge"/>
          <c:yMode val="edge"/>
          <c:x val="0.17518665083826504"/>
          <c:y val="0.13433611724119821"/>
          <c:w val="0.6612682954802227"/>
          <c:h val="0.67824880297150736"/>
        </c:manualLayout>
      </c:layout>
      <c:lineChart>
        <c:grouping val="standard"/>
        <c:ser>
          <c:idx val="0"/>
          <c:order val="0"/>
          <c:tx>
            <c:v>資金推移</c:v>
          </c:tx>
          <c:marker>
            <c:symbol val="none"/>
          </c:marker>
          <c:cat>
            <c:numRef>
              <c:f>成績表!$A$46:$A$63</c:f>
              <c:numCache>
                <c:formatCode>yyyy"年"mm"月"</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cat>
          <c:val>
            <c:numRef>
              <c:f>(成績表!$C$2,成績表!$O$46:$O$63)</c:f>
              <c:numCache>
                <c:formatCode>"¥"#,##0;\-"¥"#,##0</c:formatCode>
                <c:ptCount val="19"/>
                <c:pt idx="0">
                  <c:v>500000</c:v>
                </c:pt>
                <c:pt idx="1">
                  <c:v>500000</c:v>
                </c:pt>
                <c:pt idx="2">
                  <c:v>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marker val="1"/>
        <c:axId val="83874560"/>
        <c:axId val="83876096"/>
      </c:lineChart>
      <c:dateAx>
        <c:axId val="83874560"/>
        <c:scaling>
          <c:orientation val="minMax"/>
        </c:scaling>
        <c:axPos val="b"/>
        <c:numFmt formatCode="yyyy&quot;年&quot;mm&quot;月&quot;" sourceLinked="1"/>
        <c:majorTickMark val="none"/>
        <c:tickLblPos val="nextTo"/>
        <c:crossAx val="83876096"/>
        <c:crosses val="autoZero"/>
        <c:auto val="1"/>
        <c:lblOffset val="100"/>
        <c:baseTimeUnit val="months"/>
      </c:dateAx>
      <c:valAx>
        <c:axId val="83876096"/>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3512"/>
            </c:manualLayout>
          </c:layout>
        </c:title>
        <c:numFmt formatCode="&quot;¥&quot;#,##0;\-&quot;¥&quot;#,##0" sourceLinked="1"/>
        <c:majorTickMark val="none"/>
        <c:tickLblPos val="nextTo"/>
        <c:crossAx val="83874560"/>
        <c:crosses val="autoZero"/>
        <c:crossBetween val="between"/>
      </c:valAx>
    </c:plotArea>
    <c:legend>
      <c:legendPos val="r"/>
    </c:legend>
    <c:plotVisOnly val="1"/>
    <c:dispBlanksAs val="gap"/>
  </c:chart>
  <c:printSettings>
    <c:headerFooter/>
    <c:pageMargins b="0.75000000000000777" l="0.70000000000000062" r="0.70000000000000062" t="0.75000000000000777" header="0.30000000000000032" footer="0.30000000000000032"/>
    <c:pageSetup/>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1076325</xdr:colOff>
      <xdr:row>4</xdr:row>
      <xdr:rowOff>190500</xdr:rowOff>
    </xdr:from>
    <xdr:to>
      <xdr:col>11</xdr:col>
      <xdr:colOff>38100</xdr:colOff>
      <xdr:row>4</xdr:row>
      <xdr:rowOff>192088</xdr:rowOff>
    </xdr:to>
    <xdr:cxnSp macro="">
      <xdr:nvCxnSpPr>
        <xdr:cNvPr id="3" name="直線コネクタ 2"/>
        <xdr:cNvCxnSpPr/>
      </xdr:nvCxnSpPr>
      <xdr:spPr>
        <a:xfrm>
          <a:off x="6391275" y="3409950"/>
          <a:ext cx="482917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29</xdr:row>
      <xdr:rowOff>137473</xdr:rowOff>
    </xdr:from>
    <xdr:to>
      <xdr:col>18</xdr:col>
      <xdr:colOff>161924</xdr:colOff>
      <xdr:row>58</xdr:row>
      <xdr:rowOff>127655</xdr:rowOff>
    </xdr:to>
    <xdr:pic>
      <xdr:nvPicPr>
        <xdr:cNvPr id="11267" name="Picture 3"/>
        <xdr:cNvPicPr>
          <a:picLocks noChangeAspect="1" noChangeArrowheads="1"/>
        </xdr:cNvPicPr>
      </xdr:nvPicPr>
      <xdr:blipFill>
        <a:blip xmlns:r="http://schemas.openxmlformats.org/officeDocument/2006/relationships" r:embed="rId1"/>
        <a:srcRect l="5198" t="19845" b="12353"/>
        <a:stretch>
          <a:fillRect/>
        </a:stretch>
      </xdr:blipFill>
      <xdr:spPr bwMode="auto">
        <a:xfrm>
          <a:off x="0" y="4978530"/>
          <a:ext cx="12357852" cy="4831238"/>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161924</xdr:colOff>
      <xdr:row>28</xdr:row>
      <xdr:rowOff>147294</xdr:rowOff>
    </xdr:to>
    <xdr:pic>
      <xdr:nvPicPr>
        <xdr:cNvPr id="11265" name="Picture 1"/>
        <xdr:cNvPicPr>
          <a:picLocks noChangeAspect="1" noChangeArrowheads="1"/>
        </xdr:cNvPicPr>
      </xdr:nvPicPr>
      <xdr:blipFill>
        <a:blip xmlns:r="http://schemas.openxmlformats.org/officeDocument/2006/relationships" r:embed="rId2"/>
        <a:srcRect l="5198" t="20120" b="12215"/>
        <a:stretch>
          <a:fillRect/>
        </a:stretch>
      </xdr:blipFill>
      <xdr:spPr bwMode="auto">
        <a:xfrm>
          <a:off x="0" y="0"/>
          <a:ext cx="12357852" cy="4821418"/>
        </a:xfrm>
        <a:prstGeom prst="rect">
          <a:avLst/>
        </a:prstGeom>
        <a:noFill/>
        <a:ln w="1">
          <a:noFill/>
          <a:miter lim="800000"/>
          <a:headEnd/>
          <a:tailEnd type="none" w="med" len="med"/>
        </a:ln>
        <a:effectLst/>
      </xdr:spPr>
    </xdr:pic>
    <xdr:clientData/>
  </xdr:twoCellAnchor>
  <xdr:twoCellAnchor>
    <xdr:from>
      <xdr:col>0</xdr:col>
      <xdr:colOff>108016</xdr:colOff>
      <xdr:row>1</xdr:row>
      <xdr:rowOff>29458</xdr:rowOff>
    </xdr:from>
    <xdr:to>
      <xdr:col>1</xdr:col>
      <xdr:colOff>434671</xdr:colOff>
      <xdr:row>2</xdr:row>
      <xdr:rowOff>139169</xdr:rowOff>
    </xdr:to>
    <xdr:sp macro="" textlink="">
      <xdr:nvSpPr>
        <xdr:cNvPr id="36" name="テキスト ボックス 35"/>
        <xdr:cNvSpPr txBox="1"/>
      </xdr:nvSpPr>
      <xdr:spPr>
        <a:xfrm>
          <a:off x="108016" y="196391"/>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No.45</a:t>
          </a:r>
        </a:p>
      </xdr:txBody>
    </xdr:sp>
    <xdr:clientData/>
  </xdr:twoCellAnchor>
  <xdr:twoCellAnchor>
    <xdr:from>
      <xdr:col>0</xdr:col>
      <xdr:colOff>108703</xdr:colOff>
      <xdr:row>3</xdr:row>
      <xdr:rowOff>27422</xdr:rowOff>
    </xdr:from>
    <xdr:to>
      <xdr:col>2</xdr:col>
      <xdr:colOff>404484</xdr:colOff>
      <xdr:row>8</xdr:row>
      <xdr:rowOff>39278</xdr:rowOff>
    </xdr:to>
    <xdr:sp macro="" textlink="">
      <xdr:nvSpPr>
        <xdr:cNvPr id="37" name="テキスト ボックス 36"/>
        <xdr:cNvSpPr txBox="1"/>
      </xdr:nvSpPr>
      <xdr:spPr>
        <a:xfrm>
          <a:off x="108703" y="528221"/>
          <a:ext cx="1650884" cy="84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足レベルでダウントレンド→１時間足でウェッジ→ブレイク後２回目の戻りを見てＩＮ</a:t>
          </a:r>
          <a:endParaRPr kumimoji="1" lang="en-US" altLang="ja-JP" sz="1100">
            <a:solidFill>
              <a:schemeClr val="dk1"/>
            </a:solidFill>
            <a:latin typeface="+mn-lt"/>
            <a:ea typeface="+mn-ea"/>
            <a:cs typeface="+mn-cs"/>
          </a:endParaRPr>
        </a:p>
      </xdr:txBody>
    </xdr:sp>
    <xdr:clientData/>
  </xdr:twoCellAnchor>
  <xdr:twoCellAnchor>
    <xdr:from>
      <xdr:col>10</xdr:col>
      <xdr:colOff>289482</xdr:colOff>
      <xdr:row>11</xdr:row>
      <xdr:rowOff>147294</xdr:rowOff>
    </xdr:from>
    <xdr:to>
      <xdr:col>16</xdr:col>
      <xdr:colOff>78556</xdr:colOff>
      <xdr:row>12</xdr:row>
      <xdr:rowOff>4713</xdr:rowOff>
    </xdr:to>
    <xdr:cxnSp macro="">
      <xdr:nvCxnSpPr>
        <xdr:cNvPr id="38" name="直線コネクタ 37"/>
        <xdr:cNvCxnSpPr/>
      </xdr:nvCxnSpPr>
      <xdr:spPr>
        <a:xfrm flipV="1">
          <a:off x="7064997" y="1983557"/>
          <a:ext cx="3854384" cy="2435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113515</xdr:colOff>
      <xdr:row>8</xdr:row>
      <xdr:rowOff>78948</xdr:rowOff>
    </xdr:from>
    <xdr:to>
      <xdr:col>15</xdr:col>
      <xdr:colOff>274950</xdr:colOff>
      <xdr:row>10</xdr:row>
      <xdr:rowOff>39277</xdr:rowOff>
    </xdr:to>
    <xdr:sp macro="" textlink="">
      <xdr:nvSpPr>
        <xdr:cNvPr id="39" name="角丸四角形吹き出し 38"/>
        <xdr:cNvSpPr/>
      </xdr:nvSpPr>
      <xdr:spPr>
        <a:xfrm>
          <a:off x="9599237" y="1414412"/>
          <a:ext cx="838986" cy="294195"/>
        </a:xfrm>
        <a:prstGeom prst="wedgeRoundRectCallout">
          <a:avLst>
            <a:gd name="adj1" fmla="val 53395"/>
            <a:gd name="adj2" fmla="val 12866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endParaRPr kumimoji="1" lang="en-US" altLang="ja-JP" sz="1100"/>
        </a:p>
      </xdr:txBody>
    </xdr:sp>
    <xdr:clientData/>
  </xdr:twoCellAnchor>
  <xdr:twoCellAnchor>
    <xdr:from>
      <xdr:col>12</xdr:col>
      <xdr:colOff>294587</xdr:colOff>
      <xdr:row>18</xdr:row>
      <xdr:rowOff>117835</xdr:rowOff>
    </xdr:from>
    <xdr:to>
      <xdr:col>13</xdr:col>
      <xdr:colOff>540076</xdr:colOff>
      <xdr:row>21</xdr:row>
      <xdr:rowOff>9820</xdr:rowOff>
    </xdr:to>
    <xdr:sp macro="" textlink="">
      <xdr:nvSpPr>
        <xdr:cNvPr id="42" name="角丸四角形吹き出し 41"/>
        <xdr:cNvSpPr/>
      </xdr:nvSpPr>
      <xdr:spPr>
        <a:xfrm>
          <a:off x="8425206" y="3122629"/>
          <a:ext cx="923040" cy="392784"/>
        </a:xfrm>
        <a:prstGeom prst="wedgeRoundRectCallout">
          <a:avLst>
            <a:gd name="adj1" fmla="val 53395"/>
            <a:gd name="adj2" fmla="val -10164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61.8</a:t>
          </a:r>
          <a:r>
            <a:rPr kumimoji="1" lang="ja-JP" altLang="en-US" sz="1100"/>
            <a:t>までも伸びず</a:t>
          </a:r>
          <a:r>
            <a:rPr kumimoji="1" lang="en-US" altLang="ja-JP" sz="1100"/>
            <a:t>…</a:t>
          </a:r>
        </a:p>
      </xdr:txBody>
    </xdr:sp>
    <xdr:clientData/>
  </xdr:twoCellAnchor>
  <xdr:twoCellAnchor>
    <xdr:from>
      <xdr:col>10</xdr:col>
      <xdr:colOff>44386</xdr:colOff>
      <xdr:row>14</xdr:row>
      <xdr:rowOff>132761</xdr:rowOff>
    </xdr:from>
    <xdr:to>
      <xdr:col>11</xdr:col>
      <xdr:colOff>520438</xdr:colOff>
      <xdr:row>18</xdr:row>
      <xdr:rowOff>68737</xdr:rowOff>
    </xdr:to>
    <xdr:sp macro="" textlink="">
      <xdr:nvSpPr>
        <xdr:cNvPr id="43" name="角丸四角形吹き出し 42"/>
        <xdr:cNvSpPr/>
      </xdr:nvSpPr>
      <xdr:spPr>
        <a:xfrm>
          <a:off x="6819901" y="2469823"/>
          <a:ext cx="1153604" cy="603708"/>
        </a:xfrm>
        <a:prstGeom prst="wedgeRoundRectCallout">
          <a:avLst>
            <a:gd name="adj1" fmla="val -25330"/>
            <a:gd name="adj2" fmla="val -12263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を抜けて戻った</a:t>
          </a:r>
          <a:r>
            <a:rPr kumimoji="1" lang="en-US" altLang="ja-JP" sz="1100"/>
            <a:t>PB</a:t>
          </a:r>
          <a:r>
            <a:rPr kumimoji="1" lang="ja-JP" altLang="en-US" sz="1100"/>
            <a:t>後の</a:t>
          </a:r>
          <a:r>
            <a:rPr kumimoji="1" lang="en-US" altLang="ja-JP" sz="1100"/>
            <a:t>EB</a:t>
          </a:r>
          <a:r>
            <a:rPr kumimoji="1" lang="ja-JP" altLang="en-US" sz="1100"/>
            <a:t>下抜きで</a:t>
          </a:r>
          <a:r>
            <a:rPr kumimoji="1" lang="en-US" altLang="ja-JP" sz="1100"/>
            <a:t>IN</a:t>
          </a:r>
        </a:p>
      </xdr:txBody>
    </xdr:sp>
    <xdr:clientData/>
  </xdr:twoCellAnchor>
  <xdr:twoCellAnchor>
    <xdr:from>
      <xdr:col>10</xdr:col>
      <xdr:colOff>338973</xdr:colOff>
      <xdr:row>19</xdr:row>
      <xdr:rowOff>34563</xdr:rowOff>
    </xdr:from>
    <xdr:to>
      <xdr:col>11</xdr:col>
      <xdr:colOff>677550</xdr:colOff>
      <xdr:row>22</xdr:row>
      <xdr:rowOff>88376</xdr:rowOff>
    </xdr:to>
    <xdr:sp macro="" textlink="">
      <xdr:nvSpPr>
        <xdr:cNvPr id="40" name="角丸四角形吹き出し 39"/>
        <xdr:cNvSpPr/>
      </xdr:nvSpPr>
      <xdr:spPr>
        <a:xfrm>
          <a:off x="7114488" y="3206290"/>
          <a:ext cx="1016129" cy="554612"/>
        </a:xfrm>
        <a:prstGeom prst="wedgeRoundRectCallout">
          <a:avLst>
            <a:gd name="adj1" fmla="val -26543"/>
            <a:gd name="adj2" fmla="val -7697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ビビってちょっと遅い</a:t>
          </a:r>
          <a:endParaRPr kumimoji="1" lang="en-US" altLang="ja-JP" sz="1100" b="1"/>
        </a:p>
      </xdr:txBody>
    </xdr:sp>
    <xdr:clientData/>
  </xdr:twoCellAnchor>
  <xdr:twoCellAnchor>
    <xdr:from>
      <xdr:col>0</xdr:col>
      <xdr:colOff>93483</xdr:colOff>
      <xdr:row>31</xdr:row>
      <xdr:rowOff>14925</xdr:rowOff>
    </xdr:from>
    <xdr:to>
      <xdr:col>1</xdr:col>
      <xdr:colOff>420138</xdr:colOff>
      <xdr:row>32</xdr:row>
      <xdr:rowOff>124636</xdr:rowOff>
    </xdr:to>
    <xdr:sp macro="" textlink="">
      <xdr:nvSpPr>
        <xdr:cNvPr id="45" name="テキスト ボックス 44"/>
        <xdr:cNvSpPr txBox="1"/>
      </xdr:nvSpPr>
      <xdr:spPr>
        <a:xfrm>
          <a:off x="93483" y="5189848"/>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No.46</a:t>
          </a:r>
        </a:p>
      </xdr:txBody>
    </xdr:sp>
    <xdr:clientData/>
  </xdr:twoCellAnchor>
  <xdr:twoCellAnchor>
    <xdr:from>
      <xdr:col>0</xdr:col>
      <xdr:colOff>94170</xdr:colOff>
      <xdr:row>33</xdr:row>
      <xdr:rowOff>12889</xdr:rowOff>
    </xdr:from>
    <xdr:to>
      <xdr:col>2</xdr:col>
      <xdr:colOff>389951</xdr:colOff>
      <xdr:row>38</xdr:row>
      <xdr:rowOff>127653</xdr:rowOff>
    </xdr:to>
    <xdr:sp macro="" textlink="">
      <xdr:nvSpPr>
        <xdr:cNvPr id="46" name="テキスト ボックス 45"/>
        <xdr:cNvSpPr txBox="1"/>
      </xdr:nvSpPr>
      <xdr:spPr>
        <a:xfrm>
          <a:off x="94170" y="5521678"/>
          <a:ext cx="1650884" cy="949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日足レベルの強そうな</a:t>
          </a:r>
          <a:r>
            <a:rPr kumimoji="1" lang="en-US" altLang="ja-JP" sz="1100"/>
            <a:t>T/L</a:t>
          </a:r>
          <a:r>
            <a:rPr kumimoji="1" lang="ja-JP" altLang="en-US" sz="1100"/>
            <a:t>まで上げてきてウェッジを確認（赤線）→ウエッジブレイク後の戻りを待って</a:t>
          </a:r>
          <a:r>
            <a:rPr kumimoji="1" lang="en-US" altLang="ja-JP" sz="1100"/>
            <a:t>IN</a:t>
          </a:r>
          <a:endParaRPr kumimoji="1" lang="en-US" altLang="ja-JP" sz="1100">
            <a:solidFill>
              <a:schemeClr val="dk1"/>
            </a:solidFill>
            <a:latin typeface="+mn-lt"/>
            <a:ea typeface="+mn-ea"/>
            <a:cs typeface="+mn-cs"/>
          </a:endParaRPr>
        </a:p>
      </xdr:txBody>
    </xdr:sp>
    <xdr:clientData/>
  </xdr:twoCellAnchor>
  <xdr:twoCellAnchor>
    <xdr:from>
      <xdr:col>11</xdr:col>
      <xdr:colOff>333866</xdr:colOff>
      <xdr:row>39</xdr:row>
      <xdr:rowOff>68738</xdr:rowOff>
    </xdr:from>
    <xdr:to>
      <xdr:col>13</xdr:col>
      <xdr:colOff>486266</xdr:colOff>
      <xdr:row>39</xdr:row>
      <xdr:rowOff>83666</xdr:rowOff>
    </xdr:to>
    <xdr:cxnSp macro="">
      <xdr:nvCxnSpPr>
        <xdr:cNvPr id="47" name="直線コネクタ 46"/>
        <xdr:cNvCxnSpPr/>
      </xdr:nvCxnSpPr>
      <xdr:spPr>
        <a:xfrm>
          <a:off x="7786933" y="6579125"/>
          <a:ext cx="1507503" cy="1492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344080</xdr:colOff>
      <xdr:row>42</xdr:row>
      <xdr:rowOff>29852</xdr:rowOff>
    </xdr:from>
    <xdr:to>
      <xdr:col>12</xdr:col>
      <xdr:colOff>29459</xdr:colOff>
      <xdr:row>45</xdr:row>
      <xdr:rowOff>39278</xdr:rowOff>
    </xdr:to>
    <xdr:sp macro="" textlink="">
      <xdr:nvSpPr>
        <xdr:cNvPr id="48" name="角丸四角形吹き出し 47"/>
        <xdr:cNvSpPr/>
      </xdr:nvSpPr>
      <xdr:spPr>
        <a:xfrm>
          <a:off x="7119595" y="7041038"/>
          <a:ext cx="1040483" cy="510225"/>
        </a:xfrm>
        <a:prstGeom prst="wedgeRoundRectCallout">
          <a:avLst>
            <a:gd name="adj1" fmla="val 23189"/>
            <a:gd name="adj2" fmla="val -1096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十字下抜きで</a:t>
          </a:r>
          <a:r>
            <a:rPr kumimoji="1" lang="en-US" altLang="ja-JP" sz="1100"/>
            <a:t>IN</a:t>
          </a:r>
        </a:p>
      </xdr:txBody>
    </xdr:sp>
    <xdr:clientData/>
  </xdr:twoCellAnchor>
  <xdr:twoCellAnchor>
    <xdr:from>
      <xdr:col>0</xdr:col>
      <xdr:colOff>457201</xdr:colOff>
      <xdr:row>40</xdr:row>
      <xdr:rowOff>1</xdr:rowOff>
    </xdr:from>
    <xdr:to>
      <xdr:col>2</xdr:col>
      <xdr:colOff>628454</xdr:colOff>
      <xdr:row>45</xdr:row>
      <xdr:rowOff>68738</xdr:rowOff>
    </xdr:to>
    <xdr:sp macro="" textlink="">
      <xdr:nvSpPr>
        <xdr:cNvPr id="51" name="角丸四角形吹き出し 50"/>
        <xdr:cNvSpPr/>
      </xdr:nvSpPr>
      <xdr:spPr>
        <a:xfrm>
          <a:off x="457201" y="6677321"/>
          <a:ext cx="1526356" cy="903402"/>
        </a:xfrm>
        <a:prstGeom prst="wedgeRoundRectCallout">
          <a:avLst>
            <a:gd name="adj1" fmla="val -26543"/>
            <a:gd name="adj2" fmla="val -7697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チャネル内（青線）だった！</a:t>
          </a:r>
          <a:endParaRPr kumimoji="1" lang="en-US" altLang="ja-JP" sz="1100" b="1"/>
        </a:p>
        <a:p>
          <a:pPr algn="ctr"/>
          <a:r>
            <a:rPr kumimoji="1" lang="ja-JP" altLang="en-US" sz="1100" b="1"/>
            <a:t>しかも上は前回高値の</a:t>
          </a:r>
          <a:r>
            <a:rPr kumimoji="1" lang="en-US" altLang="ja-JP" sz="1100" b="1"/>
            <a:t>S/R</a:t>
          </a:r>
          <a:r>
            <a:rPr kumimoji="1" lang="ja-JP" altLang="en-US" sz="1100" b="1"/>
            <a:t>まで上がった</a:t>
          </a:r>
          <a:endParaRPr kumimoji="1" lang="en-US" altLang="ja-JP" sz="1100" b="1"/>
        </a:p>
      </xdr:txBody>
    </xdr:sp>
    <xdr:clientData/>
  </xdr:twoCellAnchor>
  <xdr:twoCellAnchor>
    <xdr:from>
      <xdr:col>11</xdr:col>
      <xdr:colOff>535759</xdr:colOff>
      <xdr:row>34</xdr:row>
      <xdr:rowOff>9819</xdr:rowOff>
    </xdr:from>
    <xdr:to>
      <xdr:col>13</xdr:col>
      <xdr:colOff>117836</xdr:colOff>
      <xdr:row>36</xdr:row>
      <xdr:rowOff>5106</xdr:rowOff>
    </xdr:to>
    <xdr:sp macro="" textlink="">
      <xdr:nvSpPr>
        <xdr:cNvPr id="58" name="角丸四角形吹き出し 57"/>
        <xdr:cNvSpPr/>
      </xdr:nvSpPr>
      <xdr:spPr>
        <a:xfrm>
          <a:off x="7988826" y="5685541"/>
          <a:ext cx="937180" cy="329153"/>
        </a:xfrm>
        <a:prstGeom prst="wedgeRoundRectCallout">
          <a:avLst>
            <a:gd name="adj1" fmla="val -34275"/>
            <a:gd name="adj2" fmla="val 9967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endParaRPr kumimoji="1" lang="en-US" altLang="ja-JP" sz="1100"/>
        </a:p>
      </xdr:txBody>
    </xdr:sp>
    <xdr:clientData/>
  </xdr:twoCellAnchor>
  <xdr:twoCellAnchor editAs="oneCell">
    <xdr:from>
      <xdr:col>0</xdr:col>
      <xdr:colOff>0</xdr:colOff>
      <xdr:row>60</xdr:row>
      <xdr:rowOff>19640</xdr:rowOff>
    </xdr:from>
    <xdr:to>
      <xdr:col>18</xdr:col>
      <xdr:colOff>181564</xdr:colOff>
      <xdr:row>89</xdr:row>
      <xdr:rowOff>19639</xdr:rowOff>
    </xdr:to>
    <xdr:pic>
      <xdr:nvPicPr>
        <xdr:cNvPr id="11268" name="Picture 4"/>
        <xdr:cNvPicPr>
          <a:picLocks noChangeAspect="1" noChangeArrowheads="1"/>
        </xdr:cNvPicPr>
      </xdr:nvPicPr>
      <xdr:blipFill>
        <a:blip xmlns:r="http://schemas.openxmlformats.org/officeDocument/2006/relationships" r:embed="rId3"/>
        <a:srcRect l="5047" t="19707" b="12353"/>
        <a:stretch>
          <a:fillRect/>
        </a:stretch>
      </xdr:blipFill>
      <xdr:spPr bwMode="auto">
        <a:xfrm>
          <a:off x="0" y="10035619"/>
          <a:ext cx="12377492" cy="4841056"/>
        </a:xfrm>
        <a:prstGeom prst="rect">
          <a:avLst/>
        </a:prstGeom>
        <a:noFill/>
        <a:ln w="1">
          <a:noFill/>
          <a:miter lim="800000"/>
          <a:headEnd/>
          <a:tailEnd type="none" w="med" len="med"/>
        </a:ln>
        <a:effectLst/>
      </xdr:spPr>
    </xdr:pic>
    <xdr:clientData/>
  </xdr:twoCellAnchor>
  <xdr:twoCellAnchor>
    <xdr:from>
      <xdr:col>0</xdr:col>
      <xdr:colOff>98589</xdr:colOff>
      <xdr:row>61</xdr:row>
      <xdr:rowOff>78950</xdr:rowOff>
    </xdr:from>
    <xdr:to>
      <xdr:col>1</xdr:col>
      <xdr:colOff>425244</xdr:colOff>
      <xdr:row>63</xdr:row>
      <xdr:rowOff>21728</xdr:rowOff>
    </xdr:to>
    <xdr:sp macro="" textlink="">
      <xdr:nvSpPr>
        <xdr:cNvPr id="60" name="テキスト ボックス 59"/>
        <xdr:cNvSpPr txBox="1"/>
      </xdr:nvSpPr>
      <xdr:spPr>
        <a:xfrm>
          <a:off x="98589" y="1026186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No.47,48</a:t>
          </a:r>
        </a:p>
      </xdr:txBody>
    </xdr:sp>
    <xdr:clientData/>
  </xdr:twoCellAnchor>
  <xdr:twoCellAnchor>
    <xdr:from>
      <xdr:col>0</xdr:col>
      <xdr:colOff>99275</xdr:colOff>
      <xdr:row>63</xdr:row>
      <xdr:rowOff>76914</xdr:rowOff>
    </xdr:from>
    <xdr:to>
      <xdr:col>2</xdr:col>
      <xdr:colOff>579356</xdr:colOff>
      <xdr:row>69</xdr:row>
      <xdr:rowOff>24745</xdr:rowOff>
    </xdr:to>
    <xdr:sp macro="" textlink="">
      <xdr:nvSpPr>
        <xdr:cNvPr id="61" name="テキスト ボックス 60"/>
        <xdr:cNvSpPr txBox="1"/>
      </xdr:nvSpPr>
      <xdr:spPr>
        <a:xfrm>
          <a:off x="99275" y="10593692"/>
          <a:ext cx="1835184" cy="949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a:t>
          </a:r>
          <a:r>
            <a:rPr kumimoji="1" lang="en-US" altLang="ja-JP" sz="1100"/>
            <a:t>H&amp;S</a:t>
          </a:r>
          <a:r>
            <a:rPr kumimoji="1" lang="ja-JP" altLang="en-US" sz="1100"/>
            <a:t>を作りそうな相場で、右肩部分が４</a:t>
          </a:r>
          <a:r>
            <a:rPr kumimoji="1" lang="en-US" altLang="ja-JP" sz="1100"/>
            <a:t>H</a:t>
          </a:r>
          <a:r>
            <a:rPr kumimoji="1" lang="ja-JP" altLang="en-US" sz="1100"/>
            <a:t>の下げ</a:t>
          </a:r>
          <a:r>
            <a:rPr kumimoji="1" lang="en-US" altLang="ja-JP" sz="1100"/>
            <a:t>PB</a:t>
          </a:r>
          <a:r>
            <a:rPr kumimoji="1" lang="ja-JP" altLang="en-US" sz="1100"/>
            <a:t>形成→その後</a:t>
          </a:r>
          <a:r>
            <a:rPr kumimoji="1" lang="en-US" altLang="ja-JP" sz="1100"/>
            <a:t>T/L</a:t>
          </a:r>
          <a:r>
            <a:rPr kumimoji="1" lang="ja-JP" altLang="en-US" sz="1100"/>
            <a:t>をブレイク→更に直近安値も下抜いたので</a:t>
          </a:r>
          <a:r>
            <a:rPr kumimoji="1" lang="en-US" altLang="ja-JP" sz="1100"/>
            <a:t>IN</a:t>
          </a:r>
          <a:endParaRPr kumimoji="1" lang="en-US" altLang="ja-JP" sz="1100">
            <a:solidFill>
              <a:schemeClr val="dk1"/>
            </a:solidFill>
            <a:latin typeface="+mn-lt"/>
            <a:ea typeface="+mn-ea"/>
            <a:cs typeface="+mn-cs"/>
          </a:endParaRPr>
        </a:p>
      </xdr:txBody>
    </xdr:sp>
    <xdr:clientData/>
  </xdr:twoCellAnchor>
  <xdr:twoCellAnchor>
    <xdr:from>
      <xdr:col>9</xdr:col>
      <xdr:colOff>142975</xdr:colOff>
      <xdr:row>81</xdr:row>
      <xdr:rowOff>133155</xdr:rowOff>
    </xdr:from>
    <xdr:to>
      <xdr:col>10</xdr:col>
      <xdr:colOff>505907</xdr:colOff>
      <xdr:row>84</xdr:row>
      <xdr:rowOff>142581</xdr:rowOff>
    </xdr:to>
    <xdr:sp macro="" textlink="">
      <xdr:nvSpPr>
        <xdr:cNvPr id="63" name="角丸四角形吹き出し 62"/>
        <xdr:cNvSpPr/>
      </xdr:nvSpPr>
      <xdr:spPr>
        <a:xfrm>
          <a:off x="6240939" y="13654727"/>
          <a:ext cx="1040483" cy="510225"/>
        </a:xfrm>
        <a:prstGeom prst="wedgeRoundRectCallout">
          <a:avLst>
            <a:gd name="adj1" fmla="val 23189"/>
            <a:gd name="adj2" fmla="val -1096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下抜きで</a:t>
          </a:r>
          <a:r>
            <a:rPr kumimoji="1" lang="en-US" altLang="ja-JP" sz="1100"/>
            <a:t>No.47IN</a:t>
          </a:r>
        </a:p>
      </xdr:txBody>
    </xdr:sp>
    <xdr:clientData/>
  </xdr:twoCellAnchor>
  <xdr:twoCellAnchor>
    <xdr:from>
      <xdr:col>1</xdr:col>
      <xdr:colOff>157898</xdr:colOff>
      <xdr:row>70</xdr:row>
      <xdr:rowOff>83665</xdr:rowOff>
    </xdr:from>
    <xdr:to>
      <xdr:col>3</xdr:col>
      <xdr:colOff>608814</xdr:colOff>
      <xdr:row>75</xdr:row>
      <xdr:rowOff>39279</xdr:rowOff>
    </xdr:to>
    <xdr:sp macro="" textlink="">
      <xdr:nvSpPr>
        <xdr:cNvPr id="64" name="角丸四角形吹き出し 63"/>
        <xdr:cNvSpPr/>
      </xdr:nvSpPr>
      <xdr:spPr>
        <a:xfrm>
          <a:off x="835450" y="11768974"/>
          <a:ext cx="1806019" cy="790279"/>
        </a:xfrm>
        <a:prstGeom prst="wedgeRoundRectCallout">
          <a:avLst>
            <a:gd name="adj1" fmla="val -26543"/>
            <a:gd name="adj2" fmla="val -7697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意識されてる安値はもう少し下にあった</a:t>
          </a:r>
          <a:endParaRPr kumimoji="1" lang="en-US" altLang="ja-JP" sz="1100" b="1"/>
        </a:p>
        <a:p>
          <a:pPr algn="ctr"/>
          <a:r>
            <a:rPr kumimoji="1" lang="ja-JP" altLang="en-US" sz="1100" b="1"/>
            <a:t>⇒都合よく見てしまった</a:t>
          </a:r>
          <a:r>
            <a:rPr kumimoji="1" lang="en-US" altLang="ja-JP" sz="1100" b="1"/>
            <a:t>×</a:t>
          </a:r>
        </a:p>
      </xdr:txBody>
    </xdr:sp>
    <xdr:clientData/>
  </xdr:twoCellAnchor>
  <xdr:twoCellAnchor>
    <xdr:from>
      <xdr:col>2</xdr:col>
      <xdr:colOff>575429</xdr:colOff>
      <xdr:row>76</xdr:row>
      <xdr:rowOff>29459</xdr:rowOff>
    </xdr:from>
    <xdr:to>
      <xdr:col>4</xdr:col>
      <xdr:colOff>373146</xdr:colOff>
      <xdr:row>80</xdr:row>
      <xdr:rowOff>5107</xdr:rowOff>
    </xdr:to>
    <xdr:sp macro="" textlink="">
      <xdr:nvSpPr>
        <xdr:cNvPr id="65" name="角丸四角形吹き出し 64"/>
        <xdr:cNvSpPr/>
      </xdr:nvSpPr>
      <xdr:spPr>
        <a:xfrm>
          <a:off x="1930532" y="12716366"/>
          <a:ext cx="1152820" cy="643380"/>
        </a:xfrm>
        <a:prstGeom prst="wedgeRoundRectCallout">
          <a:avLst>
            <a:gd name="adj1" fmla="val -26543"/>
            <a:gd name="adj2" fmla="val -7697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b="1"/>
            <a:t>T/L</a:t>
          </a:r>
          <a:r>
            <a:rPr kumimoji="1" lang="ja-JP" altLang="en-US" sz="1100" b="1"/>
            <a:t>ももひとつキレイではなかった</a:t>
          </a:r>
          <a:r>
            <a:rPr kumimoji="1" lang="en-US" altLang="ja-JP" sz="1100" b="1"/>
            <a:t>×</a:t>
          </a:r>
        </a:p>
      </xdr:txBody>
    </xdr:sp>
    <xdr:clientData/>
  </xdr:twoCellAnchor>
  <xdr:twoCellAnchor>
    <xdr:from>
      <xdr:col>11</xdr:col>
      <xdr:colOff>580143</xdr:colOff>
      <xdr:row>80</xdr:row>
      <xdr:rowOff>118622</xdr:rowOff>
    </xdr:from>
    <xdr:to>
      <xdr:col>13</xdr:col>
      <xdr:colOff>265523</xdr:colOff>
      <xdr:row>84</xdr:row>
      <xdr:rowOff>29458</xdr:rowOff>
    </xdr:to>
    <xdr:sp macro="" textlink="">
      <xdr:nvSpPr>
        <xdr:cNvPr id="66" name="角丸四角形吹き出し 65"/>
        <xdr:cNvSpPr/>
      </xdr:nvSpPr>
      <xdr:spPr>
        <a:xfrm>
          <a:off x="8033210" y="13473261"/>
          <a:ext cx="1040483" cy="578568"/>
        </a:xfrm>
        <a:prstGeom prst="wedgeRoundRectCallout">
          <a:avLst>
            <a:gd name="adj1" fmla="val -43818"/>
            <a:gd name="adj2" fmla="val -1096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小さく引いた</a:t>
          </a:r>
          <a:r>
            <a:rPr kumimoji="1" lang="en-US" altLang="ja-JP" sz="1100"/>
            <a:t>T/L</a:t>
          </a:r>
          <a:r>
            <a:rPr kumimoji="1" lang="ja-JP" altLang="en-US" sz="1100"/>
            <a:t>ブレイクで</a:t>
          </a:r>
          <a:r>
            <a:rPr kumimoji="1" lang="en-US" altLang="ja-JP" sz="1100"/>
            <a:t>No.48IN</a:t>
          </a:r>
        </a:p>
      </xdr:txBody>
    </xdr:sp>
    <xdr:clientData/>
  </xdr:twoCellAnchor>
  <xdr:twoCellAnchor>
    <xdr:from>
      <xdr:col>10</xdr:col>
      <xdr:colOff>570324</xdr:colOff>
      <xdr:row>68</xdr:row>
      <xdr:rowOff>39279</xdr:rowOff>
    </xdr:from>
    <xdr:to>
      <xdr:col>12</xdr:col>
      <xdr:colOff>255703</xdr:colOff>
      <xdr:row>72</xdr:row>
      <xdr:rowOff>29852</xdr:rowOff>
    </xdr:to>
    <xdr:sp macro="" textlink="">
      <xdr:nvSpPr>
        <xdr:cNvPr id="67" name="角丸四角形吹き出し 66"/>
        <xdr:cNvSpPr/>
      </xdr:nvSpPr>
      <xdr:spPr>
        <a:xfrm>
          <a:off x="7345839" y="11390722"/>
          <a:ext cx="1040483" cy="658305"/>
        </a:xfrm>
        <a:prstGeom prst="wedgeRoundRectCallout">
          <a:avLst>
            <a:gd name="adj1" fmla="val 52445"/>
            <a:gd name="adj2" fmla="val 10789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内に戻った時点で両方ロスカット</a:t>
          </a:r>
          <a:endParaRPr kumimoji="1" lang="en-US" altLang="ja-JP" sz="1100"/>
        </a:p>
      </xdr:txBody>
    </xdr:sp>
    <xdr:clientData/>
  </xdr:twoCellAnchor>
  <xdr:twoCellAnchor editAs="oneCell">
    <xdr:from>
      <xdr:col>0</xdr:col>
      <xdr:colOff>0</xdr:colOff>
      <xdr:row>90</xdr:row>
      <xdr:rowOff>58917</xdr:rowOff>
    </xdr:from>
    <xdr:to>
      <xdr:col>18</xdr:col>
      <xdr:colOff>161924</xdr:colOff>
      <xdr:row>119</xdr:row>
      <xdr:rowOff>19639</xdr:rowOff>
    </xdr:to>
    <xdr:pic>
      <xdr:nvPicPr>
        <xdr:cNvPr id="10241" name="Picture 1"/>
        <xdr:cNvPicPr>
          <a:picLocks noChangeAspect="1" noChangeArrowheads="1"/>
        </xdr:cNvPicPr>
      </xdr:nvPicPr>
      <xdr:blipFill>
        <a:blip xmlns:r="http://schemas.openxmlformats.org/officeDocument/2006/relationships" r:embed="rId4"/>
        <a:srcRect l="5198" t="19983" b="12629"/>
        <a:stretch>
          <a:fillRect/>
        </a:stretch>
      </xdr:blipFill>
      <xdr:spPr bwMode="auto">
        <a:xfrm>
          <a:off x="0" y="15082886"/>
          <a:ext cx="12357852" cy="4801779"/>
        </a:xfrm>
        <a:prstGeom prst="rect">
          <a:avLst/>
        </a:prstGeom>
        <a:noFill/>
        <a:ln w="1">
          <a:noFill/>
          <a:miter lim="800000"/>
          <a:headEnd/>
          <a:tailEnd type="none" w="med" len="med"/>
        </a:ln>
        <a:effectLst/>
      </xdr:spPr>
    </xdr:pic>
    <xdr:clientData/>
  </xdr:twoCellAnchor>
  <xdr:twoCellAnchor>
    <xdr:from>
      <xdr:col>0</xdr:col>
      <xdr:colOff>84056</xdr:colOff>
      <xdr:row>91</xdr:row>
      <xdr:rowOff>93876</xdr:rowOff>
    </xdr:from>
    <xdr:to>
      <xdr:col>1</xdr:col>
      <xdr:colOff>410711</xdr:colOff>
      <xdr:row>93</xdr:row>
      <xdr:rowOff>36654</xdr:rowOff>
    </xdr:to>
    <xdr:sp macro="" textlink="">
      <xdr:nvSpPr>
        <xdr:cNvPr id="59" name="テキスト ボックス 58"/>
        <xdr:cNvSpPr txBox="1"/>
      </xdr:nvSpPr>
      <xdr:spPr>
        <a:xfrm>
          <a:off x="84056" y="15284778"/>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No.49</a:t>
          </a:r>
        </a:p>
      </xdr:txBody>
    </xdr:sp>
    <xdr:clientData/>
  </xdr:twoCellAnchor>
  <xdr:twoCellAnchor>
    <xdr:from>
      <xdr:col>0</xdr:col>
      <xdr:colOff>84742</xdr:colOff>
      <xdr:row>93</xdr:row>
      <xdr:rowOff>91840</xdr:rowOff>
    </xdr:from>
    <xdr:to>
      <xdr:col>2</xdr:col>
      <xdr:colOff>564823</xdr:colOff>
      <xdr:row>98</xdr:row>
      <xdr:rowOff>88376</xdr:rowOff>
    </xdr:to>
    <xdr:sp macro="" textlink="">
      <xdr:nvSpPr>
        <xdr:cNvPr id="62" name="テキスト ボックス 61"/>
        <xdr:cNvSpPr txBox="1"/>
      </xdr:nvSpPr>
      <xdr:spPr>
        <a:xfrm>
          <a:off x="84742" y="15616608"/>
          <a:ext cx="1835184" cy="8312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solidFill>
                <a:schemeClr val="dk1"/>
              </a:solidFill>
              <a:latin typeface="+mn-lt"/>
              <a:ea typeface="+mn-ea"/>
              <a:cs typeface="+mn-cs"/>
            </a:rPr>
            <a:t>笹田さんのセミナーを聞いて</a:t>
          </a:r>
          <a:r>
            <a:rPr kumimoji="1" lang="en-US" altLang="ja-JP" sz="1100">
              <a:solidFill>
                <a:schemeClr val="dk1"/>
              </a:solidFill>
              <a:latin typeface="+mn-lt"/>
              <a:ea typeface="+mn-ea"/>
              <a:cs typeface="+mn-cs"/>
            </a:rPr>
            <a:t>IN</a:t>
          </a:r>
          <a:r>
            <a:rPr kumimoji="1" lang="ja-JP" altLang="en-US" sz="1100">
              <a:solidFill>
                <a:schemeClr val="dk1"/>
              </a:solidFill>
              <a:latin typeface="+mn-lt"/>
              <a:ea typeface="+mn-ea"/>
              <a:cs typeface="+mn-cs"/>
            </a:rPr>
            <a:t>→現在含み益。</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自分のチカラではないです</a:t>
          </a:r>
          <a:r>
            <a:rPr kumimoji="1" lang="en-US" altLang="ja-JP" sz="1100">
              <a:solidFill>
                <a:schemeClr val="dk1"/>
              </a:solidFill>
              <a:latin typeface="+mn-lt"/>
              <a:ea typeface="+mn-ea"/>
              <a:cs typeface="+mn-cs"/>
            </a:rPr>
            <a:t>×</a:t>
          </a:r>
        </a:p>
      </xdr:txBody>
    </xdr:sp>
    <xdr:clientData/>
  </xdr:twoCellAnchor>
  <xdr:twoCellAnchor>
    <xdr:from>
      <xdr:col>14</xdr:col>
      <xdr:colOff>491766</xdr:colOff>
      <xdr:row>97</xdr:row>
      <xdr:rowOff>69524</xdr:rowOff>
    </xdr:from>
    <xdr:to>
      <xdr:col>16</xdr:col>
      <xdr:colOff>177146</xdr:colOff>
      <xdr:row>100</xdr:row>
      <xdr:rowOff>78950</xdr:rowOff>
    </xdr:to>
    <xdr:sp macro="" textlink="">
      <xdr:nvSpPr>
        <xdr:cNvPr id="68" name="角丸四角形吹き出し 67"/>
        <xdr:cNvSpPr/>
      </xdr:nvSpPr>
      <xdr:spPr>
        <a:xfrm>
          <a:off x="9977488" y="16262024"/>
          <a:ext cx="1040483" cy="510225"/>
        </a:xfrm>
        <a:prstGeom prst="wedgeRoundRectCallout">
          <a:avLst>
            <a:gd name="adj1" fmla="val 61883"/>
            <a:gd name="adj2" fmla="val 11362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15</a:t>
          </a:r>
          <a:r>
            <a:rPr kumimoji="1" lang="ja-JP" altLang="en-US" sz="1100"/>
            <a:t>分足の戻りで</a:t>
          </a:r>
          <a:r>
            <a:rPr kumimoji="1" lang="en-US" altLang="ja-JP" sz="1100"/>
            <a:t>IN</a:t>
          </a:r>
          <a:r>
            <a:rPr kumimoji="1" lang="ja-JP" altLang="en-US" sz="1100"/>
            <a:t>しました</a:t>
          </a:r>
          <a:endParaRPr kumimoji="1" lang="en-US" altLang="ja-JP" sz="1100"/>
        </a:p>
      </xdr:txBody>
    </xdr:sp>
    <xdr:clientData/>
  </xdr:twoCellAnchor>
  <xdr:twoCellAnchor>
    <xdr:from>
      <xdr:col>2</xdr:col>
      <xdr:colOff>94268</xdr:colOff>
      <xdr:row>104</xdr:row>
      <xdr:rowOff>20035</xdr:rowOff>
    </xdr:from>
    <xdr:to>
      <xdr:col>3</xdr:col>
      <xdr:colOff>638273</xdr:colOff>
      <xdr:row>107</xdr:row>
      <xdr:rowOff>127655</xdr:rowOff>
    </xdr:to>
    <xdr:sp macro="" textlink="">
      <xdr:nvSpPr>
        <xdr:cNvPr id="69" name="角丸四角形吹き出し 68"/>
        <xdr:cNvSpPr/>
      </xdr:nvSpPr>
      <xdr:spPr>
        <a:xfrm>
          <a:off x="1449371" y="17381066"/>
          <a:ext cx="1221557" cy="608419"/>
        </a:xfrm>
        <a:prstGeom prst="wedgeRoundRectCallout">
          <a:avLst>
            <a:gd name="adj1" fmla="val -16093"/>
            <a:gd name="adj2" fmla="val -8826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この辺りの</a:t>
          </a:r>
          <a:r>
            <a:rPr kumimoji="1" lang="en-US" altLang="ja-JP" sz="1100" b="1"/>
            <a:t>S/R</a:t>
          </a:r>
          <a:r>
            <a:rPr kumimoji="1" lang="ja-JP" altLang="en-US" sz="1100" b="1"/>
            <a:t>を気にしない理由は？</a:t>
          </a:r>
          <a:endParaRPr kumimoji="1" lang="en-US" altLang="ja-JP" sz="1100" b="1"/>
        </a:p>
      </xdr:txBody>
    </xdr:sp>
    <xdr:clientData/>
  </xdr:twoCellAnchor>
  <xdr:twoCellAnchor>
    <xdr:from>
      <xdr:col>16</xdr:col>
      <xdr:colOff>49098</xdr:colOff>
      <xdr:row>104</xdr:row>
      <xdr:rowOff>19639</xdr:rowOff>
    </xdr:from>
    <xdr:to>
      <xdr:col>17</xdr:col>
      <xdr:colOff>58918</xdr:colOff>
      <xdr:row>104</xdr:row>
      <xdr:rowOff>21227</xdr:rowOff>
    </xdr:to>
    <xdr:cxnSp macro="">
      <xdr:nvCxnSpPr>
        <xdr:cNvPr id="71" name="直線コネクタ 70"/>
        <xdr:cNvCxnSpPr/>
      </xdr:nvCxnSpPr>
      <xdr:spPr>
        <a:xfrm>
          <a:off x="10889923" y="17380670"/>
          <a:ext cx="687371" cy="158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265129</xdr:colOff>
      <xdr:row>107</xdr:row>
      <xdr:rowOff>108015</xdr:rowOff>
    </xdr:from>
    <xdr:to>
      <xdr:col>18</xdr:col>
      <xdr:colOff>88376</xdr:colOff>
      <xdr:row>112</xdr:row>
      <xdr:rowOff>58917</xdr:rowOff>
    </xdr:to>
    <xdr:sp macro="" textlink="">
      <xdr:nvSpPr>
        <xdr:cNvPr id="72" name="角丸四角形吹き出し 71"/>
        <xdr:cNvSpPr/>
      </xdr:nvSpPr>
      <xdr:spPr>
        <a:xfrm>
          <a:off x="11105954" y="17969845"/>
          <a:ext cx="1178350" cy="785567"/>
        </a:xfrm>
        <a:prstGeom prst="wedgeRoundRectCallout">
          <a:avLst>
            <a:gd name="adj1" fmla="val -41278"/>
            <a:gd name="adj2" fmla="val -12184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エントリー後の戻りは無いとの判断ですか？</a:t>
          </a:r>
          <a:endParaRPr kumimoji="1" lang="en-US" altLang="ja-JP" sz="1100" b="1"/>
        </a:p>
        <a:p>
          <a:pPr algn="ctr"/>
          <a:r>
            <a:rPr kumimoji="1" lang="ja-JP" altLang="en-US" sz="1100" b="1"/>
            <a:t>それはナゼ？</a:t>
          </a:r>
          <a:endParaRPr kumimoji="1" lang="en-US" altLang="ja-JP" sz="1100" b="1"/>
        </a:p>
      </xdr:txBody>
    </xdr:sp>
    <xdr:clientData/>
  </xdr:twoCellAnchor>
  <xdr:twoCellAnchor editAs="oneCell">
    <xdr:from>
      <xdr:col>0</xdr:col>
      <xdr:colOff>0</xdr:colOff>
      <xdr:row>120</xdr:row>
      <xdr:rowOff>68738</xdr:rowOff>
    </xdr:from>
    <xdr:to>
      <xdr:col>18</xdr:col>
      <xdr:colOff>161924</xdr:colOff>
      <xdr:row>149</xdr:row>
      <xdr:rowOff>39279</xdr:rowOff>
    </xdr:to>
    <xdr:pic>
      <xdr:nvPicPr>
        <xdr:cNvPr id="10242" name="Picture 2"/>
        <xdr:cNvPicPr>
          <a:picLocks noChangeAspect="1" noChangeArrowheads="1"/>
        </xdr:cNvPicPr>
      </xdr:nvPicPr>
      <xdr:blipFill>
        <a:blip xmlns:r="http://schemas.openxmlformats.org/officeDocument/2006/relationships" r:embed="rId5"/>
        <a:srcRect l="5198" t="20120" b="12353"/>
        <a:stretch>
          <a:fillRect/>
        </a:stretch>
      </xdr:blipFill>
      <xdr:spPr bwMode="auto">
        <a:xfrm>
          <a:off x="0" y="20100697"/>
          <a:ext cx="12357852" cy="4811597"/>
        </a:xfrm>
        <a:prstGeom prst="rect">
          <a:avLst/>
        </a:prstGeom>
        <a:noFill/>
        <a:ln w="1">
          <a:noFill/>
          <a:miter lim="800000"/>
          <a:headEnd/>
          <a:tailEnd type="none" w="med" len="med"/>
        </a:ln>
        <a:effectLst/>
      </xdr:spPr>
    </xdr:pic>
    <xdr:clientData/>
  </xdr:twoCellAnchor>
  <xdr:twoCellAnchor>
    <xdr:from>
      <xdr:col>10</xdr:col>
      <xdr:colOff>657914</xdr:colOff>
      <xdr:row>140</xdr:row>
      <xdr:rowOff>153188</xdr:rowOff>
    </xdr:from>
    <xdr:to>
      <xdr:col>12</xdr:col>
      <xdr:colOff>467022</xdr:colOff>
      <xdr:row>144</xdr:row>
      <xdr:rowOff>58918</xdr:rowOff>
    </xdr:to>
    <xdr:sp macro="" textlink="">
      <xdr:nvSpPr>
        <xdr:cNvPr id="74" name="角丸四角形吹き出し 73"/>
        <xdr:cNvSpPr/>
      </xdr:nvSpPr>
      <xdr:spPr>
        <a:xfrm>
          <a:off x="7433429" y="23523807"/>
          <a:ext cx="1164212" cy="573462"/>
        </a:xfrm>
        <a:prstGeom prst="wedgeRoundRectCallout">
          <a:avLst>
            <a:gd name="adj1" fmla="val -26888"/>
            <a:gd name="adj2" fmla="val -7092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２．</a:t>
          </a:r>
          <a:r>
            <a:rPr kumimoji="1" lang="ja-JP" altLang="en-US" sz="1100"/>
            <a:t>日足でヒゲだけ抜けて戻った</a:t>
          </a:r>
          <a:endParaRPr kumimoji="1" lang="en-US" altLang="ja-JP" sz="1100"/>
        </a:p>
      </xdr:txBody>
    </xdr:sp>
    <xdr:clientData/>
  </xdr:twoCellAnchor>
  <xdr:twoCellAnchor>
    <xdr:from>
      <xdr:col>8</xdr:col>
      <xdr:colOff>584463</xdr:colOff>
      <xdr:row>139</xdr:row>
      <xdr:rowOff>83662</xdr:rowOff>
    </xdr:from>
    <xdr:to>
      <xdr:col>12</xdr:col>
      <xdr:colOff>166933</xdr:colOff>
      <xdr:row>139</xdr:row>
      <xdr:rowOff>88376</xdr:rowOff>
    </xdr:to>
    <xdr:cxnSp macro="">
      <xdr:nvCxnSpPr>
        <xdr:cNvPr id="75" name="直線コネクタ 74"/>
        <xdr:cNvCxnSpPr/>
      </xdr:nvCxnSpPr>
      <xdr:spPr>
        <a:xfrm>
          <a:off x="6004875" y="23287348"/>
          <a:ext cx="2292677" cy="471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335047</xdr:colOff>
      <xdr:row>144</xdr:row>
      <xdr:rowOff>60096</xdr:rowOff>
    </xdr:from>
    <xdr:to>
      <xdr:col>14</xdr:col>
      <xdr:colOff>196392</xdr:colOff>
      <xdr:row>148</xdr:row>
      <xdr:rowOff>127655</xdr:rowOff>
    </xdr:to>
    <xdr:sp macro="" textlink="">
      <xdr:nvSpPr>
        <xdr:cNvPr id="77" name="角丸四角形吹き出し 76"/>
        <xdr:cNvSpPr/>
      </xdr:nvSpPr>
      <xdr:spPr>
        <a:xfrm>
          <a:off x="8465666" y="24098447"/>
          <a:ext cx="1216448" cy="735290"/>
        </a:xfrm>
        <a:prstGeom prst="wedgeRoundRectCallout">
          <a:avLst>
            <a:gd name="adj1" fmla="val -41598"/>
            <a:gd name="adj2" fmla="val -6741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r>
            <a:rPr kumimoji="1" lang="ja-JP" altLang="en-US" sz="1100"/>
            <a:t>と合わせて日足レベルでトレンド転換する可能性アリ</a:t>
          </a:r>
          <a:endParaRPr kumimoji="1" lang="en-US" altLang="ja-JP" sz="1100"/>
        </a:p>
      </xdr:txBody>
    </xdr:sp>
    <xdr:clientData/>
  </xdr:twoCellAnchor>
  <xdr:twoCellAnchor>
    <xdr:from>
      <xdr:col>12</xdr:col>
      <xdr:colOff>314620</xdr:colOff>
      <xdr:row>138</xdr:row>
      <xdr:rowOff>29851</xdr:rowOff>
    </xdr:from>
    <xdr:to>
      <xdr:col>15</xdr:col>
      <xdr:colOff>574643</xdr:colOff>
      <xdr:row>138</xdr:row>
      <xdr:rowOff>34565</xdr:rowOff>
    </xdr:to>
    <xdr:cxnSp macro="">
      <xdr:nvCxnSpPr>
        <xdr:cNvPr id="79" name="直線コネクタ 78"/>
        <xdr:cNvCxnSpPr/>
      </xdr:nvCxnSpPr>
      <xdr:spPr>
        <a:xfrm>
          <a:off x="8445239" y="23066604"/>
          <a:ext cx="2292677" cy="471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433243</xdr:colOff>
      <xdr:row>138</xdr:row>
      <xdr:rowOff>138655</xdr:rowOff>
    </xdr:from>
    <xdr:to>
      <xdr:col>15</xdr:col>
      <xdr:colOff>118623</xdr:colOff>
      <xdr:row>142</xdr:row>
      <xdr:rowOff>39278</xdr:rowOff>
    </xdr:to>
    <xdr:sp macro="" textlink="">
      <xdr:nvSpPr>
        <xdr:cNvPr id="78" name="角丸四角形吹き出し 77"/>
        <xdr:cNvSpPr/>
      </xdr:nvSpPr>
      <xdr:spPr>
        <a:xfrm>
          <a:off x="9241413" y="23175408"/>
          <a:ext cx="1040483" cy="568355"/>
        </a:xfrm>
        <a:prstGeom prst="wedgeRoundRectCallout">
          <a:avLst>
            <a:gd name="adj1" fmla="val 43952"/>
            <a:gd name="adj2" fmla="val -12467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３．</a:t>
          </a:r>
          <a:r>
            <a:rPr kumimoji="1" lang="ja-JP" altLang="en-US" sz="1100"/>
            <a:t>ここで一旦下落トレンドに変わるが</a:t>
          </a:r>
          <a:endParaRPr kumimoji="1" lang="en-US" altLang="ja-JP" sz="1100"/>
        </a:p>
      </xdr:txBody>
    </xdr:sp>
    <xdr:clientData/>
  </xdr:twoCellAnchor>
  <xdr:twoCellAnchor>
    <xdr:from>
      <xdr:col>15</xdr:col>
      <xdr:colOff>163402</xdr:colOff>
      <xdr:row>139</xdr:row>
      <xdr:rowOff>65206</xdr:rowOff>
    </xdr:from>
    <xdr:to>
      <xdr:col>16</xdr:col>
      <xdr:colOff>628454</xdr:colOff>
      <xdr:row>143</xdr:row>
      <xdr:rowOff>9820</xdr:rowOff>
    </xdr:to>
    <xdr:sp macro="" textlink="">
      <xdr:nvSpPr>
        <xdr:cNvPr id="80" name="角丸四角形吹き出し 79"/>
        <xdr:cNvSpPr/>
      </xdr:nvSpPr>
      <xdr:spPr>
        <a:xfrm>
          <a:off x="10326675" y="23268892"/>
          <a:ext cx="1142604" cy="612346"/>
        </a:xfrm>
        <a:prstGeom prst="wedgeRoundRectCallout">
          <a:avLst>
            <a:gd name="adj1" fmla="val -22464"/>
            <a:gd name="adj2" fmla="val -7692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４．</a:t>
          </a:r>
          <a:r>
            <a:rPr kumimoji="1" lang="ja-JP" altLang="en-US" sz="1100"/>
            <a:t>意識されてるポイントで支えられて上昇</a:t>
          </a:r>
          <a:endParaRPr kumimoji="1" lang="en-US" altLang="ja-JP" sz="1100"/>
        </a:p>
      </xdr:txBody>
    </xdr:sp>
    <xdr:clientData/>
  </xdr:twoCellAnchor>
  <xdr:twoCellAnchor>
    <xdr:from>
      <xdr:col>3</xdr:col>
      <xdr:colOff>289875</xdr:colOff>
      <xdr:row>123</xdr:row>
      <xdr:rowOff>79738</xdr:rowOff>
    </xdr:from>
    <xdr:to>
      <xdr:col>5</xdr:col>
      <xdr:colOff>98984</xdr:colOff>
      <xdr:row>126</xdr:row>
      <xdr:rowOff>152401</xdr:rowOff>
    </xdr:to>
    <xdr:sp macro="" textlink="">
      <xdr:nvSpPr>
        <xdr:cNvPr id="81" name="角丸四角形吹き出し 80"/>
        <xdr:cNvSpPr/>
      </xdr:nvSpPr>
      <xdr:spPr>
        <a:xfrm>
          <a:off x="2322530" y="20612496"/>
          <a:ext cx="1164212" cy="573462"/>
        </a:xfrm>
        <a:prstGeom prst="wedgeRoundRectCallout">
          <a:avLst>
            <a:gd name="adj1" fmla="val -20140"/>
            <a:gd name="adj2" fmla="val 6777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１．</a:t>
          </a:r>
          <a:r>
            <a:rPr kumimoji="1" lang="ja-JP" altLang="en-US" sz="1100"/>
            <a:t>日足レベルの下落トレンド</a:t>
          </a:r>
          <a:endParaRPr kumimoji="1" lang="en-US" altLang="ja-JP" sz="1100"/>
        </a:p>
        <a:p>
          <a:pPr algn="ctr"/>
          <a:r>
            <a:rPr kumimoji="1" lang="ja-JP" altLang="en-US" sz="1100"/>
            <a:t>継続中</a:t>
          </a:r>
          <a:endParaRPr kumimoji="1" lang="en-US" altLang="ja-JP" sz="1100"/>
        </a:p>
      </xdr:txBody>
    </xdr:sp>
    <xdr:clientData/>
  </xdr:twoCellAnchor>
  <xdr:twoCellAnchor>
    <xdr:from>
      <xdr:col>16</xdr:col>
      <xdr:colOff>551472</xdr:colOff>
      <xdr:row>143</xdr:row>
      <xdr:rowOff>9819</xdr:rowOff>
    </xdr:from>
    <xdr:to>
      <xdr:col>18</xdr:col>
      <xdr:colOff>108015</xdr:colOff>
      <xdr:row>146</xdr:row>
      <xdr:rowOff>64025</xdr:rowOff>
    </xdr:to>
    <xdr:sp macro="" textlink="">
      <xdr:nvSpPr>
        <xdr:cNvPr id="82" name="角丸四角形吹き出し 81"/>
        <xdr:cNvSpPr/>
      </xdr:nvSpPr>
      <xdr:spPr>
        <a:xfrm>
          <a:off x="11392297" y="23881237"/>
          <a:ext cx="911646" cy="555004"/>
        </a:xfrm>
        <a:prstGeom prst="wedgeRoundRectCallout">
          <a:avLst>
            <a:gd name="adj1" fmla="val -53403"/>
            <a:gd name="adj2" fmla="val -673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大きく上げそうな気配を感じ取る</a:t>
          </a:r>
          <a:endParaRPr kumimoji="1" lang="en-US" altLang="ja-JP" sz="1100"/>
        </a:p>
      </xdr:txBody>
    </xdr:sp>
    <xdr:clientData/>
  </xdr:twoCellAnchor>
  <xdr:twoCellAnchor>
    <xdr:from>
      <xdr:col>15</xdr:col>
      <xdr:colOff>579356</xdr:colOff>
      <xdr:row>134</xdr:row>
      <xdr:rowOff>19639</xdr:rowOff>
    </xdr:from>
    <xdr:to>
      <xdr:col>17</xdr:col>
      <xdr:colOff>68737</xdr:colOff>
      <xdr:row>134</xdr:row>
      <xdr:rowOff>21227</xdr:rowOff>
    </xdr:to>
    <xdr:cxnSp macro="">
      <xdr:nvCxnSpPr>
        <xdr:cNvPr id="83" name="直線コネクタ 82"/>
        <xdr:cNvCxnSpPr/>
      </xdr:nvCxnSpPr>
      <xdr:spPr>
        <a:xfrm>
          <a:off x="10742629" y="22388660"/>
          <a:ext cx="844484" cy="158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235670</xdr:colOff>
      <xdr:row>127</xdr:row>
      <xdr:rowOff>147294</xdr:rowOff>
    </xdr:from>
    <xdr:to>
      <xdr:col>16</xdr:col>
      <xdr:colOff>211318</xdr:colOff>
      <xdr:row>132</xdr:row>
      <xdr:rowOff>113123</xdr:rowOff>
    </xdr:to>
    <xdr:sp macro="" textlink="">
      <xdr:nvSpPr>
        <xdr:cNvPr id="87" name="角丸四角形吹き出し 86"/>
        <xdr:cNvSpPr/>
      </xdr:nvSpPr>
      <xdr:spPr>
        <a:xfrm>
          <a:off x="9721392" y="21347784"/>
          <a:ext cx="1330751" cy="800494"/>
        </a:xfrm>
        <a:prstGeom prst="wedgeRoundRectCallout">
          <a:avLst>
            <a:gd name="adj1" fmla="val 38554"/>
            <a:gd name="adj2" fmla="val 8023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このレンジを抜ければ</a:t>
          </a:r>
          <a:r>
            <a:rPr kumimoji="1" lang="en-US" altLang="ja-JP" sz="1100"/>
            <a:t>T/L</a:t>
          </a:r>
          <a:r>
            <a:rPr kumimoji="1" lang="ja-JP" altLang="en-US" sz="1100"/>
            <a:t>ブレイクも重なる為、</a:t>
          </a:r>
          <a:r>
            <a:rPr kumimoji="1" lang="en-US" altLang="ja-JP" sz="1100"/>
            <a:t>IN</a:t>
          </a:r>
          <a:r>
            <a:rPr kumimoji="1" lang="ja-JP" altLang="en-US" sz="1100"/>
            <a:t>ポイントと判断</a:t>
          </a:r>
          <a:endParaRPr kumimoji="1" lang="en-US" altLang="ja-JP" sz="1100"/>
        </a:p>
      </xdr:txBody>
    </xdr:sp>
    <xdr:clientData/>
  </xdr:twoCellAnchor>
  <xdr:twoCellAnchor>
    <xdr:from>
      <xdr:col>0</xdr:col>
      <xdr:colOff>148080</xdr:colOff>
      <xdr:row>121</xdr:row>
      <xdr:rowOff>89163</xdr:rowOff>
    </xdr:from>
    <xdr:to>
      <xdr:col>1</xdr:col>
      <xdr:colOff>474735</xdr:colOff>
      <xdr:row>123</xdr:row>
      <xdr:rowOff>31941</xdr:rowOff>
    </xdr:to>
    <xdr:sp macro="" textlink="">
      <xdr:nvSpPr>
        <xdr:cNvPr id="88" name="テキスト ボックス 87"/>
        <xdr:cNvSpPr txBox="1"/>
      </xdr:nvSpPr>
      <xdr:spPr>
        <a:xfrm>
          <a:off x="148080" y="20288055"/>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t>想像</a:t>
          </a:r>
          <a:endParaRPr kumimoji="1" lang="en-US" altLang="ja-JP" sz="1100" b="1"/>
        </a:p>
      </xdr:txBody>
    </xdr:sp>
    <xdr:clientData/>
  </xdr:twoCellAnchor>
  <xdr:twoCellAnchor>
    <xdr:from>
      <xdr:col>0</xdr:col>
      <xdr:colOff>138946</xdr:colOff>
      <xdr:row>123</xdr:row>
      <xdr:rowOff>116585</xdr:rowOff>
    </xdr:from>
    <xdr:to>
      <xdr:col>2</xdr:col>
      <xdr:colOff>373144</xdr:colOff>
      <xdr:row>129</xdr:row>
      <xdr:rowOff>64416</xdr:rowOff>
    </xdr:to>
    <xdr:sp macro="" textlink="">
      <xdr:nvSpPr>
        <xdr:cNvPr id="89" name="テキスト ボックス 88"/>
        <xdr:cNvSpPr txBox="1"/>
      </xdr:nvSpPr>
      <xdr:spPr>
        <a:xfrm>
          <a:off x="138946" y="20649343"/>
          <a:ext cx="1589301" cy="949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solidFill>
                <a:schemeClr val="dk1"/>
              </a:solidFill>
              <a:latin typeface="+mn-lt"/>
              <a:ea typeface="+mn-ea"/>
              <a:cs typeface="+mn-cs"/>
            </a:rPr>
            <a:t>笹田さんが買いと判断された根拠はこんな感じでしょーか？</a:t>
          </a:r>
          <a:endParaRPr kumimoji="1" lang="en-US" altLang="ja-JP" sz="1100" b="1">
            <a:solidFill>
              <a:schemeClr val="dk1"/>
            </a:solidFill>
            <a:latin typeface="+mn-lt"/>
            <a:ea typeface="+mn-ea"/>
            <a:cs typeface="+mn-cs"/>
          </a:endParaRPr>
        </a:p>
        <a:p>
          <a:r>
            <a:rPr kumimoji="1" lang="ja-JP" altLang="en-US" sz="1100" b="1">
              <a:solidFill>
                <a:schemeClr val="dk1"/>
              </a:solidFill>
              <a:latin typeface="+mn-lt"/>
              <a:ea typeface="+mn-ea"/>
              <a:cs typeface="+mn-cs"/>
            </a:rPr>
            <a:t>訂正・不足があればご教示ください</a:t>
          </a:r>
          <a:r>
            <a:rPr kumimoji="1" lang="en-US" altLang="ja-JP" sz="1100" b="1">
              <a:solidFill>
                <a:schemeClr val="dk1"/>
              </a:solidFill>
              <a:latin typeface="+mn-lt"/>
              <a:ea typeface="+mn-ea"/>
              <a:cs typeface="+mn-cs"/>
            </a:rPr>
            <a:t>m(__)m</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132466</xdr:colOff>
      <xdr:row>28</xdr:row>
      <xdr:rowOff>137474</xdr:rowOff>
    </xdr:to>
    <xdr:pic>
      <xdr:nvPicPr>
        <xdr:cNvPr id="12289" name="Picture 1"/>
        <xdr:cNvPicPr>
          <a:picLocks noChangeAspect="1" noChangeArrowheads="1"/>
        </xdr:cNvPicPr>
      </xdr:nvPicPr>
      <xdr:blipFill>
        <a:blip xmlns:r="http://schemas.openxmlformats.org/officeDocument/2006/relationships" r:embed="rId1"/>
        <a:srcRect l="5424" t="19982" b="12491"/>
        <a:stretch>
          <a:fillRect/>
        </a:stretch>
      </xdr:blipFill>
      <xdr:spPr bwMode="auto">
        <a:xfrm>
          <a:off x="0" y="0"/>
          <a:ext cx="12328394" cy="4811598"/>
        </a:xfrm>
        <a:prstGeom prst="rect">
          <a:avLst/>
        </a:prstGeom>
        <a:noFill/>
        <a:ln w="1">
          <a:noFill/>
          <a:miter lim="800000"/>
          <a:headEnd/>
          <a:tailEnd type="none" w="med" len="med"/>
        </a:ln>
        <a:effectLst/>
      </xdr:spPr>
    </xdr:pic>
    <xdr:clientData/>
  </xdr:twoCellAnchor>
  <xdr:twoCellAnchor>
    <xdr:from>
      <xdr:col>0</xdr:col>
      <xdr:colOff>108015</xdr:colOff>
      <xdr:row>1</xdr:row>
      <xdr:rowOff>49098</xdr:rowOff>
    </xdr:from>
    <xdr:to>
      <xdr:col>1</xdr:col>
      <xdr:colOff>434670</xdr:colOff>
      <xdr:row>2</xdr:row>
      <xdr:rowOff>158809</xdr:rowOff>
    </xdr:to>
    <xdr:sp macro="" textlink="">
      <xdr:nvSpPr>
        <xdr:cNvPr id="36" name="テキスト ボックス 35"/>
        <xdr:cNvSpPr txBox="1"/>
      </xdr:nvSpPr>
      <xdr:spPr>
        <a:xfrm>
          <a:off x="108015" y="216031"/>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No.41</a:t>
          </a:r>
        </a:p>
      </xdr:txBody>
    </xdr:sp>
    <xdr:clientData/>
  </xdr:twoCellAnchor>
  <xdr:twoCellAnchor>
    <xdr:from>
      <xdr:col>0</xdr:col>
      <xdr:colOff>108702</xdr:colOff>
      <xdr:row>3</xdr:row>
      <xdr:rowOff>47062</xdr:rowOff>
    </xdr:from>
    <xdr:to>
      <xdr:col>2</xdr:col>
      <xdr:colOff>404483</xdr:colOff>
      <xdr:row>9</xdr:row>
      <xdr:rowOff>39278</xdr:rowOff>
    </xdr:to>
    <xdr:sp macro="" textlink="">
      <xdr:nvSpPr>
        <xdr:cNvPr id="37" name="テキスト ボックス 36"/>
        <xdr:cNvSpPr txBox="1"/>
      </xdr:nvSpPr>
      <xdr:spPr>
        <a:xfrm>
          <a:off x="108702" y="547861"/>
          <a:ext cx="1650884" cy="993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足レベルでアップトレンド→ウェッジ先端でブレイク</a:t>
          </a:r>
          <a:r>
            <a:rPr kumimoji="1" lang="en-US" altLang="ja-JP" sz="1100"/>
            <a:t>+D/J</a:t>
          </a:r>
          <a:r>
            <a:rPr kumimoji="1" lang="ja-JP" altLang="en-US" sz="1100"/>
            <a:t>確認→１５分足の戻り→直近安値下抜きで売り</a:t>
          </a:r>
          <a:r>
            <a:rPr kumimoji="1" lang="en-US" altLang="ja-JP" sz="1100"/>
            <a:t>IN</a:t>
          </a:r>
          <a:endParaRPr kumimoji="1" lang="en-US" altLang="ja-JP" sz="1100">
            <a:solidFill>
              <a:schemeClr val="dk1"/>
            </a:solidFill>
            <a:latin typeface="+mn-lt"/>
            <a:ea typeface="+mn-ea"/>
            <a:cs typeface="+mn-cs"/>
          </a:endParaRPr>
        </a:p>
      </xdr:txBody>
    </xdr:sp>
    <xdr:clientData/>
  </xdr:twoCellAnchor>
  <xdr:twoCellAnchor>
    <xdr:from>
      <xdr:col>12</xdr:col>
      <xdr:colOff>642985</xdr:colOff>
      <xdr:row>3</xdr:row>
      <xdr:rowOff>108015</xdr:rowOff>
    </xdr:from>
    <xdr:to>
      <xdr:col>16</xdr:col>
      <xdr:colOff>245489</xdr:colOff>
      <xdr:row>3</xdr:row>
      <xdr:rowOff>122549</xdr:rowOff>
    </xdr:to>
    <xdr:cxnSp macro="">
      <xdr:nvCxnSpPr>
        <xdr:cNvPr id="38" name="直線コネクタ 37"/>
        <xdr:cNvCxnSpPr/>
      </xdr:nvCxnSpPr>
      <xdr:spPr>
        <a:xfrm flipV="1">
          <a:off x="8773604" y="608814"/>
          <a:ext cx="2312710" cy="1453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294979</xdr:colOff>
      <xdr:row>8</xdr:row>
      <xdr:rowOff>103301</xdr:rowOff>
    </xdr:from>
    <xdr:to>
      <xdr:col>13</xdr:col>
      <xdr:colOff>132760</xdr:colOff>
      <xdr:row>12</xdr:row>
      <xdr:rowOff>117833</xdr:rowOff>
    </xdr:to>
    <xdr:sp macro="" textlink="">
      <xdr:nvSpPr>
        <xdr:cNvPr id="39" name="角丸四角形吹き出し 38"/>
        <xdr:cNvSpPr/>
      </xdr:nvSpPr>
      <xdr:spPr>
        <a:xfrm>
          <a:off x="7748046" y="1438765"/>
          <a:ext cx="1192884" cy="682264"/>
        </a:xfrm>
        <a:prstGeom prst="wedgeRoundRectCallout">
          <a:avLst>
            <a:gd name="adj1" fmla="val 52087"/>
            <a:gd name="adj2" fmla="val -6854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このヒゲで見事に指値にひかかって</a:t>
          </a:r>
          <a:r>
            <a:rPr kumimoji="1" lang="en-US" altLang="ja-JP" sz="1100"/>
            <a:t>INorz</a:t>
          </a:r>
        </a:p>
      </xdr:txBody>
    </xdr:sp>
    <xdr:clientData/>
  </xdr:twoCellAnchor>
  <xdr:twoCellAnchor>
    <xdr:from>
      <xdr:col>15</xdr:col>
      <xdr:colOff>594674</xdr:colOff>
      <xdr:row>5</xdr:row>
      <xdr:rowOff>147686</xdr:rowOff>
    </xdr:from>
    <xdr:to>
      <xdr:col>17</xdr:col>
      <xdr:colOff>78557</xdr:colOff>
      <xdr:row>7</xdr:row>
      <xdr:rowOff>108015</xdr:rowOff>
    </xdr:to>
    <xdr:sp macro="" textlink="">
      <xdr:nvSpPr>
        <xdr:cNvPr id="42" name="角丸四角形吹き出し 41"/>
        <xdr:cNvSpPr/>
      </xdr:nvSpPr>
      <xdr:spPr>
        <a:xfrm>
          <a:off x="10757947" y="982351"/>
          <a:ext cx="838986" cy="294195"/>
        </a:xfrm>
        <a:prstGeom prst="wedgeRoundRectCallout">
          <a:avLst>
            <a:gd name="adj1" fmla="val -43749"/>
            <a:gd name="adj2" fmla="val -17173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endParaRPr kumimoji="1" lang="en-US" altLang="ja-JP" sz="1100"/>
        </a:p>
      </xdr:txBody>
    </xdr:sp>
    <xdr:clientData/>
  </xdr:twoCellAnchor>
  <xdr:twoCellAnchor editAs="oneCell">
    <xdr:from>
      <xdr:col>9</xdr:col>
      <xdr:colOff>589175</xdr:colOff>
      <xdr:row>13</xdr:row>
      <xdr:rowOff>39278</xdr:rowOff>
    </xdr:from>
    <xdr:to>
      <xdr:col>18</xdr:col>
      <xdr:colOff>152105</xdr:colOff>
      <xdr:row>29</xdr:row>
      <xdr:rowOff>98195</xdr:rowOff>
    </xdr:to>
    <xdr:pic>
      <xdr:nvPicPr>
        <xdr:cNvPr id="12290" name="Picture 2"/>
        <xdr:cNvPicPr>
          <a:picLocks noChangeAspect="1" noChangeArrowheads="1"/>
        </xdr:cNvPicPr>
      </xdr:nvPicPr>
      <xdr:blipFill>
        <a:blip xmlns:r="http://schemas.openxmlformats.org/officeDocument/2006/relationships" r:embed="rId2"/>
        <a:srcRect l="56573" t="29491" b="32198"/>
        <a:stretch>
          <a:fillRect/>
        </a:stretch>
      </xdr:blipFill>
      <xdr:spPr bwMode="auto">
        <a:xfrm>
          <a:off x="6687139" y="2209407"/>
          <a:ext cx="5660894" cy="272984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15</xdr:col>
      <xdr:colOff>481160</xdr:colOff>
      <xdr:row>9</xdr:row>
      <xdr:rowOff>147293</xdr:rowOff>
    </xdr:from>
    <xdr:to>
      <xdr:col>17</xdr:col>
      <xdr:colOff>466235</xdr:colOff>
      <xdr:row>13</xdr:row>
      <xdr:rowOff>166932</xdr:rowOff>
    </xdr:to>
    <xdr:sp macro="" textlink="">
      <xdr:nvSpPr>
        <xdr:cNvPr id="40" name="角丸四角形吹き出し 39"/>
        <xdr:cNvSpPr/>
      </xdr:nvSpPr>
      <xdr:spPr>
        <a:xfrm>
          <a:off x="10644433" y="1649690"/>
          <a:ext cx="1340178" cy="687371"/>
        </a:xfrm>
        <a:prstGeom prst="wedgeRoundRectCallout">
          <a:avLst>
            <a:gd name="adj1" fmla="val 12784"/>
            <a:gd name="adj2" fmla="val 8017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フラッグが見えるなら、そこまで伸びる可能性大！</a:t>
          </a:r>
          <a:endParaRPr kumimoji="1" lang="en-US" altLang="ja-JP" sz="1100" b="1"/>
        </a:p>
      </xdr:txBody>
    </xdr:sp>
    <xdr:clientData/>
  </xdr:twoCellAnchor>
  <xdr:twoCellAnchor>
    <xdr:from>
      <xdr:col>16</xdr:col>
      <xdr:colOff>540077</xdr:colOff>
      <xdr:row>20</xdr:row>
      <xdr:rowOff>64415</xdr:rowOff>
    </xdr:from>
    <xdr:to>
      <xdr:col>18</xdr:col>
      <xdr:colOff>196391</xdr:colOff>
      <xdr:row>22</xdr:row>
      <xdr:rowOff>117835</xdr:rowOff>
    </xdr:to>
    <xdr:sp macro="" textlink="">
      <xdr:nvSpPr>
        <xdr:cNvPr id="44" name="角丸四角形吹き出し 43"/>
        <xdr:cNvSpPr/>
      </xdr:nvSpPr>
      <xdr:spPr>
        <a:xfrm>
          <a:off x="11380902" y="3403075"/>
          <a:ext cx="1011417" cy="387286"/>
        </a:xfrm>
        <a:prstGeom prst="wedgeRoundRectCallout">
          <a:avLst>
            <a:gd name="adj1" fmla="val -44720"/>
            <a:gd name="adj2" fmla="val -14638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ここがトレードした所</a:t>
          </a:r>
          <a:endParaRPr kumimoji="1" lang="en-US" altLang="ja-JP" sz="1100"/>
        </a:p>
      </xdr:txBody>
    </xdr:sp>
    <xdr:clientData/>
  </xdr:twoCellAnchor>
  <xdr:twoCellAnchor>
    <xdr:from>
      <xdr:col>13</xdr:col>
      <xdr:colOff>496084</xdr:colOff>
      <xdr:row>14</xdr:row>
      <xdr:rowOff>19639</xdr:rowOff>
    </xdr:from>
    <xdr:to>
      <xdr:col>15</xdr:col>
      <xdr:colOff>152398</xdr:colOff>
      <xdr:row>16</xdr:row>
      <xdr:rowOff>103302</xdr:rowOff>
    </xdr:to>
    <xdr:sp macro="" textlink="">
      <xdr:nvSpPr>
        <xdr:cNvPr id="45" name="角丸四角形吹き出し 44"/>
        <xdr:cNvSpPr/>
      </xdr:nvSpPr>
      <xdr:spPr>
        <a:xfrm>
          <a:off x="9304254" y="2356701"/>
          <a:ext cx="1011417" cy="417529"/>
        </a:xfrm>
        <a:prstGeom prst="wedgeRoundRectCallout">
          <a:avLst>
            <a:gd name="adj1" fmla="val 124211"/>
            <a:gd name="adj2" fmla="val 10536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４</a:t>
          </a:r>
          <a:r>
            <a:rPr kumimoji="1" lang="en-US" altLang="ja-JP" sz="1100"/>
            <a:t>H</a:t>
          </a:r>
          <a:r>
            <a:rPr kumimoji="1" lang="ja-JP" altLang="en-US" sz="1100"/>
            <a:t>足で引いたウェッジ</a:t>
          </a:r>
          <a:endParaRPr kumimoji="1" lang="en-US" altLang="ja-JP" sz="1100"/>
        </a:p>
      </xdr:txBody>
    </xdr:sp>
    <xdr:clientData/>
  </xdr:twoCellAnchor>
  <xdr:twoCellAnchor>
    <xdr:from>
      <xdr:col>9</xdr:col>
      <xdr:colOff>653199</xdr:colOff>
      <xdr:row>13</xdr:row>
      <xdr:rowOff>142579</xdr:rowOff>
    </xdr:from>
    <xdr:to>
      <xdr:col>11</xdr:col>
      <xdr:colOff>274948</xdr:colOff>
      <xdr:row>15</xdr:row>
      <xdr:rowOff>108014</xdr:rowOff>
    </xdr:to>
    <xdr:sp macro="" textlink="">
      <xdr:nvSpPr>
        <xdr:cNvPr id="46" name="テキスト ボックス 45"/>
        <xdr:cNvSpPr txBox="1"/>
      </xdr:nvSpPr>
      <xdr:spPr>
        <a:xfrm>
          <a:off x="6751163" y="2312708"/>
          <a:ext cx="976852" cy="299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日足では・・・</a:t>
          </a:r>
          <a:endParaRPr kumimoji="1" lang="en-US" altLang="ja-JP" sz="1100"/>
        </a:p>
      </xdr:txBody>
    </xdr:sp>
    <xdr:clientData/>
  </xdr:twoCellAnchor>
  <xdr:twoCellAnchor>
    <xdr:from>
      <xdr:col>0</xdr:col>
      <xdr:colOff>162220</xdr:colOff>
      <xdr:row>10</xdr:row>
      <xdr:rowOff>24744</xdr:rowOff>
    </xdr:from>
    <xdr:to>
      <xdr:col>2</xdr:col>
      <xdr:colOff>255309</xdr:colOff>
      <xdr:row>14</xdr:row>
      <xdr:rowOff>44383</xdr:rowOff>
    </xdr:to>
    <xdr:sp macro="" textlink="">
      <xdr:nvSpPr>
        <xdr:cNvPr id="47" name="角丸四角形吹き出し 46"/>
        <xdr:cNvSpPr/>
      </xdr:nvSpPr>
      <xdr:spPr>
        <a:xfrm>
          <a:off x="162220" y="1694074"/>
          <a:ext cx="1448192" cy="687371"/>
        </a:xfrm>
        <a:prstGeom prst="wedgeRoundRectCallout">
          <a:avLst>
            <a:gd name="adj1" fmla="val -26543"/>
            <a:gd name="adj2" fmla="val -7697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ウェッジの先端までいったら反転せず伸びる可能性大！</a:t>
          </a:r>
          <a:endParaRPr kumimoji="1" lang="en-US" altLang="ja-JP" sz="1100" b="1"/>
        </a:p>
      </xdr:txBody>
    </xdr:sp>
    <xdr:clientData/>
  </xdr:twoCellAnchor>
  <xdr:twoCellAnchor editAs="oneCell">
    <xdr:from>
      <xdr:col>0</xdr:col>
      <xdr:colOff>0</xdr:colOff>
      <xdr:row>30</xdr:row>
      <xdr:rowOff>147293</xdr:rowOff>
    </xdr:from>
    <xdr:to>
      <xdr:col>18</xdr:col>
      <xdr:colOff>191383</xdr:colOff>
      <xdr:row>59</xdr:row>
      <xdr:rowOff>88377</xdr:rowOff>
    </xdr:to>
    <xdr:pic>
      <xdr:nvPicPr>
        <xdr:cNvPr id="12291" name="Picture 3"/>
        <xdr:cNvPicPr>
          <a:picLocks noChangeAspect="1" noChangeArrowheads="1"/>
        </xdr:cNvPicPr>
      </xdr:nvPicPr>
      <xdr:blipFill>
        <a:blip xmlns:r="http://schemas.openxmlformats.org/officeDocument/2006/relationships" r:embed="rId3"/>
        <a:srcRect l="4972" t="20120" b="12767"/>
        <a:stretch>
          <a:fillRect/>
        </a:stretch>
      </xdr:blipFill>
      <xdr:spPr bwMode="auto">
        <a:xfrm>
          <a:off x="0" y="5155283"/>
          <a:ext cx="12387311" cy="4782140"/>
        </a:xfrm>
        <a:prstGeom prst="rect">
          <a:avLst/>
        </a:prstGeom>
        <a:noFill/>
        <a:ln w="1">
          <a:noFill/>
          <a:miter lim="800000"/>
          <a:headEnd/>
          <a:tailEnd type="none" w="med" len="med"/>
        </a:ln>
        <a:effectLst/>
      </xdr:spPr>
    </xdr:pic>
    <xdr:clientData/>
  </xdr:twoCellAnchor>
  <xdr:twoCellAnchor>
    <xdr:from>
      <xdr:col>0</xdr:col>
      <xdr:colOff>113121</xdr:colOff>
      <xdr:row>32</xdr:row>
      <xdr:rowOff>5106</xdr:rowOff>
    </xdr:from>
    <xdr:to>
      <xdr:col>1</xdr:col>
      <xdr:colOff>439776</xdr:colOff>
      <xdr:row>33</xdr:row>
      <xdr:rowOff>114817</xdr:rowOff>
    </xdr:to>
    <xdr:sp macro="" textlink="">
      <xdr:nvSpPr>
        <xdr:cNvPr id="49" name="テキスト ボックス 48"/>
        <xdr:cNvSpPr txBox="1"/>
      </xdr:nvSpPr>
      <xdr:spPr>
        <a:xfrm>
          <a:off x="113121" y="534696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No.42</a:t>
          </a:r>
        </a:p>
      </xdr:txBody>
    </xdr:sp>
    <xdr:clientData/>
  </xdr:twoCellAnchor>
  <xdr:twoCellAnchor>
    <xdr:from>
      <xdr:col>0</xdr:col>
      <xdr:colOff>113808</xdr:colOff>
      <xdr:row>34</xdr:row>
      <xdr:rowOff>3070</xdr:rowOff>
    </xdr:from>
    <xdr:to>
      <xdr:col>2</xdr:col>
      <xdr:colOff>409589</xdr:colOff>
      <xdr:row>39</xdr:row>
      <xdr:rowOff>162219</xdr:rowOff>
    </xdr:to>
    <xdr:sp macro="" textlink="">
      <xdr:nvSpPr>
        <xdr:cNvPr id="50" name="テキスト ボックス 49"/>
        <xdr:cNvSpPr txBox="1"/>
      </xdr:nvSpPr>
      <xdr:spPr>
        <a:xfrm>
          <a:off x="113808" y="5678792"/>
          <a:ext cx="1650884" cy="993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日足レベルでダウントレンド→１</a:t>
          </a:r>
          <a:r>
            <a:rPr kumimoji="1" lang="en-US" altLang="ja-JP" sz="1100"/>
            <a:t>H</a:t>
          </a:r>
          <a:r>
            <a:rPr kumimoji="1" lang="ja-JP" altLang="en-US" sz="1100"/>
            <a:t>足レベルの</a:t>
          </a:r>
          <a:r>
            <a:rPr kumimoji="1" lang="en-US" altLang="ja-JP" sz="1100"/>
            <a:t>T/L</a:t>
          </a:r>
          <a:r>
            <a:rPr kumimoji="1" lang="ja-JP" altLang="en-US" sz="1100"/>
            <a:t>を下抜いての戻り→直近安値の</a:t>
          </a:r>
          <a:r>
            <a:rPr kumimoji="1" lang="en-US" altLang="ja-JP" sz="1100"/>
            <a:t>S/R</a:t>
          </a:r>
          <a:r>
            <a:rPr kumimoji="1" lang="ja-JP" altLang="en-US" sz="1100"/>
            <a:t>に跳ね返されての</a:t>
          </a:r>
          <a:r>
            <a:rPr kumimoji="1" lang="en-US" altLang="ja-JP" sz="1100"/>
            <a:t>PB</a:t>
          </a:r>
          <a:r>
            <a:rPr kumimoji="1" lang="ja-JP" altLang="en-US" sz="1100"/>
            <a:t>ブレイクで売り</a:t>
          </a:r>
          <a:r>
            <a:rPr kumimoji="1" lang="en-US" altLang="ja-JP" sz="1100"/>
            <a:t>IN</a:t>
          </a:r>
          <a:endParaRPr kumimoji="1" lang="en-US" altLang="ja-JP" sz="1100">
            <a:solidFill>
              <a:schemeClr val="dk1"/>
            </a:solidFill>
            <a:latin typeface="+mn-lt"/>
            <a:ea typeface="+mn-ea"/>
            <a:cs typeface="+mn-cs"/>
          </a:endParaRPr>
        </a:p>
      </xdr:txBody>
    </xdr:sp>
    <xdr:clientData/>
  </xdr:twoCellAnchor>
  <xdr:twoCellAnchor>
    <xdr:from>
      <xdr:col>6</xdr:col>
      <xdr:colOff>500801</xdr:colOff>
      <xdr:row>40</xdr:row>
      <xdr:rowOff>117834</xdr:rowOff>
    </xdr:from>
    <xdr:to>
      <xdr:col>9</xdr:col>
      <xdr:colOff>549897</xdr:colOff>
      <xdr:row>40</xdr:row>
      <xdr:rowOff>127656</xdr:rowOff>
    </xdr:to>
    <xdr:cxnSp macro="">
      <xdr:nvCxnSpPr>
        <xdr:cNvPr id="51" name="直線コネクタ 50"/>
        <xdr:cNvCxnSpPr/>
      </xdr:nvCxnSpPr>
      <xdr:spPr>
        <a:xfrm flipV="1">
          <a:off x="4566110" y="6795154"/>
          <a:ext cx="2081751" cy="982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427740</xdr:colOff>
      <xdr:row>46</xdr:row>
      <xdr:rowOff>108406</xdr:rowOff>
    </xdr:from>
    <xdr:to>
      <xdr:col>11</xdr:col>
      <xdr:colOff>186572</xdr:colOff>
      <xdr:row>48</xdr:row>
      <xdr:rowOff>98195</xdr:rowOff>
    </xdr:to>
    <xdr:sp macro="" textlink="">
      <xdr:nvSpPr>
        <xdr:cNvPr id="52" name="角丸四角形吹き出し 51"/>
        <xdr:cNvSpPr/>
      </xdr:nvSpPr>
      <xdr:spPr>
        <a:xfrm>
          <a:off x="6525704" y="7787324"/>
          <a:ext cx="1113935" cy="323655"/>
        </a:xfrm>
        <a:prstGeom prst="wedgeRoundRectCallout">
          <a:avLst>
            <a:gd name="adj1" fmla="val -33524"/>
            <a:gd name="adj2" fmla="val -10020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PB</a:t>
          </a:r>
          <a:r>
            <a:rPr kumimoji="1" lang="ja-JP" altLang="en-US" sz="1100"/>
            <a:t>下抜きで</a:t>
          </a:r>
          <a:r>
            <a:rPr kumimoji="1" lang="en-US" altLang="ja-JP" sz="1100"/>
            <a:t>IN</a:t>
          </a:r>
        </a:p>
      </xdr:txBody>
    </xdr:sp>
    <xdr:clientData/>
  </xdr:twoCellAnchor>
  <xdr:twoCellAnchor>
    <xdr:from>
      <xdr:col>0</xdr:col>
      <xdr:colOff>186965</xdr:colOff>
      <xdr:row>44</xdr:row>
      <xdr:rowOff>20030</xdr:rowOff>
    </xdr:from>
    <xdr:to>
      <xdr:col>2</xdr:col>
      <xdr:colOff>280054</xdr:colOff>
      <xdr:row>49</xdr:row>
      <xdr:rowOff>29459</xdr:rowOff>
    </xdr:to>
    <xdr:sp macro="" textlink="">
      <xdr:nvSpPr>
        <xdr:cNvPr id="53" name="角丸四角形吹き出し 52"/>
        <xdr:cNvSpPr/>
      </xdr:nvSpPr>
      <xdr:spPr>
        <a:xfrm>
          <a:off x="186965" y="7365082"/>
          <a:ext cx="1448192" cy="844093"/>
        </a:xfrm>
        <a:prstGeom prst="wedgeRoundRectCallout">
          <a:avLst>
            <a:gd name="adj1" fmla="val -29934"/>
            <a:gd name="adj2" fmla="val -13639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ダウントレンドが長く続いている相場</a:t>
          </a:r>
          <a:endParaRPr kumimoji="1" lang="en-US" altLang="ja-JP" sz="1100" b="1"/>
        </a:p>
        <a:p>
          <a:pPr algn="ctr"/>
          <a:r>
            <a:rPr kumimoji="1" lang="ja-JP" altLang="en-US" sz="1100" b="1"/>
            <a:t>＝トレンド転換してもおかしくない</a:t>
          </a:r>
          <a:endParaRPr kumimoji="1" lang="en-US" altLang="ja-JP" sz="1100" b="1"/>
        </a:p>
      </xdr:txBody>
    </xdr:sp>
    <xdr:clientData/>
  </xdr:twoCellAnchor>
  <xdr:twoCellAnchor>
    <xdr:from>
      <xdr:col>1</xdr:col>
      <xdr:colOff>186572</xdr:colOff>
      <xdr:row>39</xdr:row>
      <xdr:rowOff>49098</xdr:rowOff>
    </xdr:from>
    <xdr:to>
      <xdr:col>10</xdr:col>
      <xdr:colOff>540078</xdr:colOff>
      <xdr:row>43</xdr:row>
      <xdr:rowOff>49097</xdr:rowOff>
    </xdr:to>
    <xdr:cxnSp macro="">
      <xdr:nvCxnSpPr>
        <xdr:cNvPr id="56" name="直線コネクタ 55"/>
        <xdr:cNvCxnSpPr/>
      </xdr:nvCxnSpPr>
      <xdr:spPr>
        <a:xfrm flipV="1">
          <a:off x="864124" y="6559485"/>
          <a:ext cx="6451469" cy="667731"/>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166933</xdr:colOff>
      <xdr:row>44</xdr:row>
      <xdr:rowOff>39278</xdr:rowOff>
    </xdr:from>
    <xdr:to>
      <xdr:col>10</xdr:col>
      <xdr:colOff>476447</xdr:colOff>
      <xdr:row>44</xdr:row>
      <xdr:rowOff>44383</xdr:rowOff>
    </xdr:to>
    <xdr:cxnSp macro="">
      <xdr:nvCxnSpPr>
        <xdr:cNvPr id="61" name="直線コネクタ 60"/>
        <xdr:cNvCxnSpPr/>
      </xdr:nvCxnSpPr>
      <xdr:spPr>
        <a:xfrm>
          <a:off x="6264897" y="7384330"/>
          <a:ext cx="987065" cy="5105"/>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619418</xdr:colOff>
      <xdr:row>41</xdr:row>
      <xdr:rowOff>54593</xdr:rowOff>
    </xdr:from>
    <xdr:to>
      <xdr:col>14</xdr:col>
      <xdr:colOff>157113</xdr:colOff>
      <xdr:row>43</xdr:row>
      <xdr:rowOff>44382</xdr:rowOff>
    </xdr:to>
    <xdr:sp macro="" textlink="">
      <xdr:nvSpPr>
        <xdr:cNvPr id="66" name="角丸四角形吹き出し 65"/>
        <xdr:cNvSpPr/>
      </xdr:nvSpPr>
      <xdr:spPr>
        <a:xfrm>
          <a:off x="8750037" y="6898846"/>
          <a:ext cx="892798" cy="323655"/>
        </a:xfrm>
        <a:prstGeom prst="wedgeRoundRectCallout">
          <a:avLst>
            <a:gd name="adj1" fmla="val -5315"/>
            <a:gd name="adj2" fmla="val 12430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endParaRPr kumimoji="1" lang="en-US" altLang="ja-JP" sz="1100"/>
        </a:p>
      </xdr:txBody>
    </xdr:sp>
    <xdr:clientData/>
  </xdr:twoCellAnchor>
  <xdr:twoCellAnchor>
    <xdr:from>
      <xdr:col>12</xdr:col>
      <xdr:colOff>653199</xdr:colOff>
      <xdr:row>45</xdr:row>
      <xdr:rowOff>5106</xdr:rowOff>
    </xdr:from>
    <xdr:to>
      <xdr:col>14</xdr:col>
      <xdr:colOff>285161</xdr:colOff>
      <xdr:row>45</xdr:row>
      <xdr:rowOff>10211</xdr:rowOff>
    </xdr:to>
    <xdr:cxnSp macro="">
      <xdr:nvCxnSpPr>
        <xdr:cNvPr id="67" name="直線コネクタ 66"/>
        <xdr:cNvCxnSpPr/>
      </xdr:nvCxnSpPr>
      <xdr:spPr>
        <a:xfrm>
          <a:off x="8783818" y="7517091"/>
          <a:ext cx="987065" cy="5105"/>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538092</xdr:colOff>
      <xdr:row>49</xdr:row>
      <xdr:rowOff>108016</xdr:rowOff>
    </xdr:from>
    <xdr:to>
      <xdr:col>18</xdr:col>
      <xdr:colOff>196391</xdr:colOff>
      <xdr:row>61</xdr:row>
      <xdr:rowOff>19640</xdr:rowOff>
    </xdr:to>
    <xdr:pic>
      <xdr:nvPicPr>
        <xdr:cNvPr id="12292" name="Picture 4"/>
        <xdr:cNvPicPr>
          <a:picLocks noChangeAspect="1" noChangeArrowheads="1"/>
        </xdr:cNvPicPr>
      </xdr:nvPicPr>
      <xdr:blipFill>
        <a:blip xmlns:r="http://schemas.openxmlformats.org/officeDocument/2006/relationships" r:embed="rId4"/>
        <a:srcRect l="32693" t="20258" r="6967" b="38124"/>
        <a:stretch>
          <a:fillRect/>
        </a:stretch>
      </xdr:blipFill>
      <xdr:spPr bwMode="auto">
        <a:xfrm>
          <a:off x="7313607" y="8287732"/>
          <a:ext cx="5078712" cy="191482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10</xdr:col>
      <xdr:colOff>638668</xdr:colOff>
      <xdr:row>50</xdr:row>
      <xdr:rowOff>29851</xdr:rowOff>
    </xdr:from>
    <xdr:to>
      <xdr:col>12</xdr:col>
      <xdr:colOff>260416</xdr:colOff>
      <xdr:row>51</xdr:row>
      <xdr:rowOff>162219</xdr:rowOff>
    </xdr:to>
    <xdr:sp macro="" textlink="">
      <xdr:nvSpPr>
        <xdr:cNvPr id="69" name="テキスト ボックス 68"/>
        <xdr:cNvSpPr txBox="1"/>
      </xdr:nvSpPr>
      <xdr:spPr>
        <a:xfrm>
          <a:off x="7414183" y="8376500"/>
          <a:ext cx="976852" cy="299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日足では・・・</a:t>
          </a:r>
          <a:endParaRPr kumimoji="1" lang="en-US" altLang="ja-JP" sz="1100"/>
        </a:p>
      </xdr:txBody>
    </xdr:sp>
    <xdr:clientData/>
  </xdr:twoCellAnchor>
  <xdr:twoCellAnchor>
    <xdr:from>
      <xdr:col>16</xdr:col>
      <xdr:colOff>344469</xdr:colOff>
      <xdr:row>54</xdr:row>
      <xdr:rowOff>162610</xdr:rowOff>
    </xdr:from>
    <xdr:to>
      <xdr:col>18</xdr:col>
      <xdr:colOff>103301</xdr:colOff>
      <xdr:row>59</xdr:row>
      <xdr:rowOff>157114</xdr:rowOff>
    </xdr:to>
    <xdr:sp macro="" textlink="">
      <xdr:nvSpPr>
        <xdr:cNvPr id="70" name="角丸四角形吹き出し 69"/>
        <xdr:cNvSpPr/>
      </xdr:nvSpPr>
      <xdr:spPr>
        <a:xfrm>
          <a:off x="11185294" y="9176991"/>
          <a:ext cx="1113935" cy="829169"/>
        </a:xfrm>
        <a:prstGeom prst="wedgeRoundRectCallout">
          <a:avLst>
            <a:gd name="adj1" fmla="val 29064"/>
            <a:gd name="adj2" fmla="val -7890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日足レベルでの</a:t>
          </a:r>
          <a:r>
            <a:rPr kumimoji="1" lang="en-US" altLang="ja-JP" sz="1100"/>
            <a:t>T/L</a:t>
          </a:r>
          <a:r>
            <a:rPr kumimoji="1" lang="ja-JP" altLang="en-US" sz="1100"/>
            <a:t>ブレイク→</a:t>
          </a:r>
          <a:r>
            <a:rPr kumimoji="1" lang="en-US" altLang="ja-JP" sz="1100"/>
            <a:t>FS</a:t>
          </a:r>
        </a:p>
        <a:p>
          <a:pPr algn="ctr"/>
          <a:r>
            <a:rPr kumimoji="1" lang="ja-JP" altLang="en-US" sz="1100"/>
            <a:t>来週狙い目！</a:t>
          </a:r>
          <a:endParaRPr kumimoji="1" lang="en-US" altLang="ja-JP" sz="1100"/>
        </a:p>
      </xdr:txBody>
    </xdr:sp>
    <xdr:clientData/>
  </xdr:twoCellAnchor>
  <xdr:twoCellAnchor editAs="oneCell">
    <xdr:from>
      <xdr:col>0</xdr:col>
      <xdr:colOff>0</xdr:colOff>
      <xdr:row>62</xdr:row>
      <xdr:rowOff>98196</xdr:rowOff>
    </xdr:from>
    <xdr:to>
      <xdr:col>18</xdr:col>
      <xdr:colOff>181564</xdr:colOff>
      <xdr:row>91</xdr:row>
      <xdr:rowOff>29459</xdr:rowOff>
    </xdr:to>
    <xdr:pic>
      <xdr:nvPicPr>
        <xdr:cNvPr id="12293" name="Picture 5"/>
        <xdr:cNvPicPr>
          <a:picLocks noChangeAspect="1" noChangeArrowheads="1"/>
        </xdr:cNvPicPr>
      </xdr:nvPicPr>
      <xdr:blipFill>
        <a:blip xmlns:r="http://schemas.openxmlformats.org/officeDocument/2006/relationships" r:embed="rId5"/>
        <a:srcRect l="5047" t="20120" b="12904"/>
        <a:stretch>
          <a:fillRect/>
        </a:stretch>
      </xdr:blipFill>
      <xdr:spPr bwMode="auto">
        <a:xfrm>
          <a:off x="0" y="10448041"/>
          <a:ext cx="12377492" cy="4772320"/>
        </a:xfrm>
        <a:prstGeom prst="rect">
          <a:avLst/>
        </a:prstGeom>
        <a:noFill/>
        <a:ln w="1">
          <a:noFill/>
          <a:miter lim="800000"/>
          <a:headEnd/>
          <a:tailEnd type="none" w="med" len="med"/>
        </a:ln>
        <a:effectLst/>
      </xdr:spPr>
    </xdr:pic>
    <xdr:clientData/>
  </xdr:twoCellAnchor>
  <xdr:twoCellAnchor>
    <xdr:from>
      <xdr:col>0</xdr:col>
      <xdr:colOff>88768</xdr:colOff>
      <xdr:row>63</xdr:row>
      <xdr:rowOff>128048</xdr:rowOff>
    </xdr:from>
    <xdr:to>
      <xdr:col>1</xdr:col>
      <xdr:colOff>415423</xdr:colOff>
      <xdr:row>65</xdr:row>
      <xdr:rowOff>70826</xdr:rowOff>
    </xdr:to>
    <xdr:sp macro="" textlink="">
      <xdr:nvSpPr>
        <xdr:cNvPr id="72" name="テキスト ボックス 71"/>
        <xdr:cNvSpPr txBox="1"/>
      </xdr:nvSpPr>
      <xdr:spPr>
        <a:xfrm>
          <a:off x="88768" y="10644826"/>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No.43,44</a:t>
          </a:r>
        </a:p>
      </xdr:txBody>
    </xdr:sp>
    <xdr:clientData/>
  </xdr:twoCellAnchor>
  <xdr:twoCellAnchor>
    <xdr:from>
      <xdr:col>0</xdr:col>
      <xdr:colOff>89455</xdr:colOff>
      <xdr:row>65</xdr:row>
      <xdr:rowOff>126011</xdr:rowOff>
    </xdr:from>
    <xdr:to>
      <xdr:col>2</xdr:col>
      <xdr:colOff>385236</xdr:colOff>
      <xdr:row>73</xdr:row>
      <xdr:rowOff>127654</xdr:rowOff>
    </xdr:to>
    <xdr:sp macro="" textlink="">
      <xdr:nvSpPr>
        <xdr:cNvPr id="73" name="テキスト ボックス 72"/>
        <xdr:cNvSpPr txBox="1"/>
      </xdr:nvSpPr>
      <xdr:spPr>
        <a:xfrm>
          <a:off x="89455" y="10976655"/>
          <a:ext cx="1650884" cy="1337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日足レベルでダウントレンド→４</a:t>
          </a:r>
          <a:r>
            <a:rPr kumimoji="1" lang="en-US" altLang="ja-JP" sz="1100"/>
            <a:t>H</a:t>
          </a:r>
          <a:r>
            <a:rPr kumimoji="1" lang="ja-JP" altLang="en-US" sz="1100"/>
            <a:t>足レベルの戻りでウェッジ形成→売り圧力が</a:t>
          </a:r>
          <a:r>
            <a:rPr kumimoji="1" lang="en-US" altLang="ja-JP" sz="1100"/>
            <a:t>T/L</a:t>
          </a:r>
          <a:r>
            <a:rPr kumimoji="1" lang="ja-JP" altLang="en-US" sz="1100"/>
            <a:t>に支えられて溜まっているように見えた為、ブレイク</a:t>
          </a:r>
          <a:r>
            <a:rPr kumimoji="1" lang="en-US" altLang="ja-JP" sz="1100"/>
            <a:t>+</a:t>
          </a:r>
          <a:r>
            <a:rPr kumimoji="1" lang="ja-JP" altLang="en-US" sz="1100"/>
            <a:t>意識されてそうな安値下抜きで</a:t>
          </a:r>
          <a:r>
            <a:rPr kumimoji="1" lang="en-US" altLang="ja-JP" sz="1100"/>
            <a:t>IN</a:t>
          </a:r>
          <a:endParaRPr kumimoji="1" lang="en-US" altLang="ja-JP" sz="1100">
            <a:solidFill>
              <a:schemeClr val="dk1"/>
            </a:solidFill>
            <a:latin typeface="+mn-lt"/>
            <a:ea typeface="+mn-ea"/>
            <a:cs typeface="+mn-cs"/>
          </a:endParaRPr>
        </a:p>
      </xdr:txBody>
    </xdr:sp>
    <xdr:clientData/>
  </xdr:twoCellAnchor>
  <xdr:twoCellAnchor>
    <xdr:from>
      <xdr:col>5</xdr:col>
      <xdr:colOff>579355</xdr:colOff>
      <xdr:row>73</xdr:row>
      <xdr:rowOff>117835</xdr:rowOff>
    </xdr:from>
    <xdr:to>
      <xdr:col>14</xdr:col>
      <xdr:colOff>373144</xdr:colOff>
      <xdr:row>73</xdr:row>
      <xdr:rowOff>119423</xdr:rowOff>
    </xdr:to>
    <xdr:cxnSp macro="">
      <xdr:nvCxnSpPr>
        <xdr:cNvPr id="74" name="直線コネクタ 73"/>
        <xdr:cNvCxnSpPr/>
      </xdr:nvCxnSpPr>
      <xdr:spPr>
        <a:xfrm>
          <a:off x="3967113" y="12303943"/>
          <a:ext cx="5891753" cy="158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413206</xdr:colOff>
      <xdr:row>74</xdr:row>
      <xdr:rowOff>127655</xdr:rowOff>
    </xdr:from>
    <xdr:to>
      <xdr:col>13</xdr:col>
      <xdr:colOff>172038</xdr:colOff>
      <xdr:row>78</xdr:row>
      <xdr:rowOff>108016</xdr:rowOff>
    </xdr:to>
    <xdr:sp macro="" textlink="">
      <xdr:nvSpPr>
        <xdr:cNvPr id="75" name="角丸四角形吹き出し 74"/>
        <xdr:cNvSpPr/>
      </xdr:nvSpPr>
      <xdr:spPr>
        <a:xfrm>
          <a:off x="7866273" y="12480696"/>
          <a:ext cx="1113935" cy="648093"/>
        </a:xfrm>
        <a:prstGeom prst="wedgeRoundRectCallout">
          <a:avLst>
            <a:gd name="adj1" fmla="val 66970"/>
            <a:gd name="adj2" fmla="val -7509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意識されてそうな安値下抜きで</a:t>
          </a:r>
          <a:r>
            <a:rPr kumimoji="1" lang="en-US" altLang="ja-JP" sz="1100"/>
            <a:t>IN</a:t>
          </a:r>
        </a:p>
      </xdr:txBody>
    </xdr:sp>
    <xdr:clientData/>
  </xdr:twoCellAnchor>
  <xdr:twoCellAnchor>
    <xdr:from>
      <xdr:col>13</xdr:col>
      <xdr:colOff>569537</xdr:colOff>
      <xdr:row>68</xdr:row>
      <xdr:rowOff>108017</xdr:rowOff>
    </xdr:from>
    <xdr:to>
      <xdr:col>15</xdr:col>
      <xdr:colOff>167326</xdr:colOff>
      <xdr:row>72</xdr:row>
      <xdr:rowOff>14927</xdr:rowOff>
    </xdr:to>
    <xdr:sp macro="" textlink="">
      <xdr:nvSpPr>
        <xdr:cNvPr id="78" name="角丸四角形吹き出し 77"/>
        <xdr:cNvSpPr/>
      </xdr:nvSpPr>
      <xdr:spPr>
        <a:xfrm>
          <a:off x="9377707" y="11459460"/>
          <a:ext cx="952892" cy="574642"/>
        </a:xfrm>
        <a:prstGeom prst="wedgeRoundRectCallout">
          <a:avLst>
            <a:gd name="adj1" fmla="val -47628"/>
            <a:gd name="adj2" fmla="val 9518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建値で一度撤退</a:t>
          </a:r>
          <a:endParaRPr kumimoji="1" lang="en-US" altLang="ja-JP" sz="1100"/>
        </a:p>
      </xdr:txBody>
    </xdr:sp>
    <xdr:clientData/>
  </xdr:twoCellAnchor>
  <xdr:twoCellAnchor>
    <xdr:from>
      <xdr:col>11</xdr:col>
      <xdr:colOff>623741</xdr:colOff>
      <xdr:row>81</xdr:row>
      <xdr:rowOff>54206</xdr:rowOff>
    </xdr:from>
    <xdr:to>
      <xdr:col>13</xdr:col>
      <xdr:colOff>221530</xdr:colOff>
      <xdr:row>84</xdr:row>
      <xdr:rowOff>128049</xdr:rowOff>
    </xdr:to>
    <xdr:sp macro="" textlink="">
      <xdr:nvSpPr>
        <xdr:cNvPr id="79" name="角丸四角形吹き出し 78"/>
        <xdr:cNvSpPr/>
      </xdr:nvSpPr>
      <xdr:spPr>
        <a:xfrm>
          <a:off x="8076808" y="13575778"/>
          <a:ext cx="952892" cy="574642"/>
        </a:xfrm>
        <a:prstGeom prst="wedgeRoundRectCallout">
          <a:avLst>
            <a:gd name="adj1" fmla="val 96643"/>
            <a:gd name="adj2" fmla="val -8082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0.4pip</a:t>
          </a:r>
          <a:r>
            <a:rPr kumimoji="1" lang="ja-JP" altLang="en-US" sz="1100"/>
            <a:t>差でターゲット到達せず</a:t>
          </a:r>
          <a:r>
            <a:rPr kumimoji="1" lang="en-US" altLang="ja-JP" sz="1100"/>
            <a:t>orz</a:t>
          </a:r>
        </a:p>
      </xdr:txBody>
    </xdr:sp>
    <xdr:clientData/>
  </xdr:twoCellAnchor>
  <xdr:twoCellAnchor>
    <xdr:from>
      <xdr:col>13</xdr:col>
      <xdr:colOff>520438</xdr:colOff>
      <xdr:row>75</xdr:row>
      <xdr:rowOff>29459</xdr:rowOff>
    </xdr:from>
    <xdr:to>
      <xdr:col>16</xdr:col>
      <xdr:colOff>382964</xdr:colOff>
      <xdr:row>75</xdr:row>
      <xdr:rowOff>31047</xdr:rowOff>
    </xdr:to>
    <xdr:cxnSp macro="">
      <xdr:nvCxnSpPr>
        <xdr:cNvPr id="80" name="直線コネクタ 79"/>
        <xdr:cNvCxnSpPr/>
      </xdr:nvCxnSpPr>
      <xdr:spPr>
        <a:xfrm>
          <a:off x="9328608" y="12549433"/>
          <a:ext cx="1895181" cy="158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299695</xdr:colOff>
      <xdr:row>72</xdr:row>
      <xdr:rowOff>58917</xdr:rowOff>
    </xdr:from>
    <xdr:to>
      <xdr:col>15</xdr:col>
      <xdr:colOff>274949</xdr:colOff>
      <xdr:row>74</xdr:row>
      <xdr:rowOff>128048</xdr:rowOff>
    </xdr:to>
    <xdr:sp macro="" textlink="">
      <xdr:nvSpPr>
        <xdr:cNvPr id="85" name="角丸四角形吹き出し 84"/>
        <xdr:cNvSpPr/>
      </xdr:nvSpPr>
      <xdr:spPr>
        <a:xfrm>
          <a:off x="9785417" y="12078092"/>
          <a:ext cx="652805" cy="402997"/>
        </a:xfrm>
        <a:prstGeom prst="wedgeRoundRectCallout">
          <a:avLst>
            <a:gd name="adj1" fmla="val -110804"/>
            <a:gd name="adj2" fmla="val 6106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すぐ入り直し</a:t>
          </a:r>
          <a:endParaRPr kumimoji="1" lang="en-US" altLang="ja-JP" sz="1100"/>
        </a:p>
      </xdr:txBody>
    </xdr:sp>
    <xdr:clientData/>
  </xdr:twoCellAnchor>
  <xdr:twoCellAnchor>
    <xdr:from>
      <xdr:col>13</xdr:col>
      <xdr:colOff>88376</xdr:colOff>
      <xdr:row>80</xdr:row>
      <xdr:rowOff>5107</xdr:rowOff>
    </xdr:from>
    <xdr:to>
      <xdr:col>16</xdr:col>
      <xdr:colOff>132760</xdr:colOff>
      <xdr:row>80</xdr:row>
      <xdr:rowOff>9819</xdr:rowOff>
    </xdr:to>
    <xdr:cxnSp macro="">
      <xdr:nvCxnSpPr>
        <xdr:cNvPr id="86" name="直線コネクタ 85"/>
        <xdr:cNvCxnSpPr/>
      </xdr:nvCxnSpPr>
      <xdr:spPr>
        <a:xfrm flipV="1">
          <a:off x="8896546" y="13359746"/>
          <a:ext cx="2077039" cy="471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324441</xdr:colOff>
      <xdr:row>70</xdr:row>
      <xdr:rowOff>88377</xdr:rowOff>
    </xdr:from>
    <xdr:to>
      <xdr:col>16</xdr:col>
      <xdr:colOff>373144</xdr:colOff>
      <xdr:row>73</xdr:row>
      <xdr:rowOff>34960</xdr:rowOff>
    </xdr:to>
    <xdr:sp macro="" textlink="">
      <xdr:nvSpPr>
        <xdr:cNvPr id="97" name="角丸四角形吹き出し 96"/>
        <xdr:cNvSpPr/>
      </xdr:nvSpPr>
      <xdr:spPr>
        <a:xfrm>
          <a:off x="10487714" y="11773686"/>
          <a:ext cx="726255" cy="447382"/>
        </a:xfrm>
        <a:prstGeom prst="wedgeRoundRectCallout">
          <a:avLst>
            <a:gd name="adj1" fmla="val 26569"/>
            <a:gd name="adj2" fmla="val 10372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再度建</a:t>
          </a:r>
          <a:endParaRPr kumimoji="1" lang="en-US" altLang="ja-JP" sz="1100"/>
        </a:p>
        <a:p>
          <a:pPr algn="ctr"/>
          <a:r>
            <a:rPr kumimoji="1" lang="ja-JP" altLang="en-US" sz="1100"/>
            <a:t>値撤退</a:t>
          </a:r>
          <a:endParaRPr kumimoji="1" lang="en-US" altLang="ja-JP" sz="1100"/>
        </a:p>
      </xdr:txBody>
    </xdr:sp>
    <xdr:clientData/>
  </xdr:twoCellAnchor>
  <xdr:twoCellAnchor>
    <xdr:from>
      <xdr:col>11</xdr:col>
      <xdr:colOff>549897</xdr:colOff>
      <xdr:row>62</xdr:row>
      <xdr:rowOff>157114</xdr:rowOff>
    </xdr:from>
    <xdr:to>
      <xdr:col>14</xdr:col>
      <xdr:colOff>182252</xdr:colOff>
      <xdr:row>68</xdr:row>
      <xdr:rowOff>10213</xdr:rowOff>
    </xdr:to>
    <xdr:sp macro="" textlink="">
      <xdr:nvSpPr>
        <xdr:cNvPr id="98" name="角丸四角形吹き出し 97"/>
        <xdr:cNvSpPr/>
      </xdr:nvSpPr>
      <xdr:spPr>
        <a:xfrm>
          <a:off x="8002964" y="10506959"/>
          <a:ext cx="1665010" cy="854697"/>
        </a:xfrm>
        <a:prstGeom prst="wedgeRoundRectCallout">
          <a:avLst>
            <a:gd name="adj1" fmla="val -16610"/>
            <a:gd name="adj2" fmla="val 7100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これだけ</a:t>
          </a:r>
          <a:r>
            <a:rPr kumimoji="1" lang="en-US" altLang="ja-JP" sz="1100" b="1"/>
            <a:t>T/L</a:t>
          </a:r>
          <a:r>
            <a:rPr kumimoji="1" lang="ja-JP" altLang="en-US" sz="1100" b="1"/>
            <a:t>に張り付いた場合は売り圧力が溜まっていると見て、ブレイクと同時に</a:t>
          </a:r>
          <a:r>
            <a:rPr kumimoji="1" lang="en-US" altLang="ja-JP" sz="1100" b="1"/>
            <a:t>IN</a:t>
          </a:r>
          <a:r>
            <a:rPr kumimoji="1" lang="ja-JP" altLang="en-US" sz="1100" b="1"/>
            <a:t>する</a:t>
          </a:r>
          <a:endParaRPr kumimoji="1" lang="en-US" altLang="ja-JP" sz="1100" b="1"/>
        </a:p>
      </xdr:txBody>
    </xdr:sp>
    <xdr:clientData/>
  </xdr:twoCellAnchor>
  <xdr:twoCellAnchor>
    <xdr:from>
      <xdr:col>11</xdr:col>
      <xdr:colOff>324046</xdr:colOff>
      <xdr:row>69</xdr:row>
      <xdr:rowOff>39279</xdr:rowOff>
    </xdr:from>
    <xdr:to>
      <xdr:col>13</xdr:col>
      <xdr:colOff>373144</xdr:colOff>
      <xdr:row>72</xdr:row>
      <xdr:rowOff>157114</xdr:rowOff>
    </xdr:to>
    <xdr:sp macro="" textlink="">
      <xdr:nvSpPr>
        <xdr:cNvPr id="99" name="角丸四角形 98"/>
        <xdr:cNvSpPr/>
      </xdr:nvSpPr>
      <xdr:spPr>
        <a:xfrm>
          <a:off x="7777113" y="11557655"/>
          <a:ext cx="1404201" cy="618634"/>
        </a:xfrm>
        <a:prstGeom prst="roundRect">
          <a:avLst/>
        </a:prstGeom>
        <a:noFill/>
      </xdr:spPr>
      <xdr:style>
        <a:lnRef idx="2">
          <a:schemeClr val="accent6"/>
        </a:lnRef>
        <a:fillRef idx="1">
          <a:schemeClr val="lt1"/>
        </a:fillRef>
        <a:effectRef idx="0">
          <a:schemeClr val="accent6"/>
        </a:effectRef>
        <a:fontRef idx="minor">
          <a:schemeClr val="dk1"/>
        </a:fontRef>
      </xdr:style>
      <xdr:txBody>
        <a:bodyPr rtlCol="0" anchor="ctr"/>
        <a:lstStyle/>
        <a:p>
          <a:pPr algn="ctr"/>
          <a:endParaRPr kumimoji="1" lang="ja-JP" altLang="en-US" sz="1100"/>
        </a:p>
      </xdr:txBody>
    </xdr:sp>
    <xdr:clientData/>
  </xdr:twoCellAnchor>
  <xdr:twoCellAnchor>
    <xdr:from>
      <xdr:col>14</xdr:col>
      <xdr:colOff>574642</xdr:colOff>
      <xdr:row>63</xdr:row>
      <xdr:rowOff>5107</xdr:rowOff>
    </xdr:from>
    <xdr:to>
      <xdr:col>17</xdr:col>
      <xdr:colOff>206998</xdr:colOff>
      <xdr:row>68</xdr:row>
      <xdr:rowOff>25139</xdr:rowOff>
    </xdr:to>
    <xdr:sp macro="" textlink="">
      <xdr:nvSpPr>
        <xdr:cNvPr id="100" name="角丸四角形吹き出し 99"/>
        <xdr:cNvSpPr/>
      </xdr:nvSpPr>
      <xdr:spPr>
        <a:xfrm>
          <a:off x="10060364" y="10521885"/>
          <a:ext cx="1665010" cy="854697"/>
        </a:xfrm>
        <a:prstGeom prst="wedgeRoundRectCallout">
          <a:avLst>
            <a:gd name="adj1" fmla="val -40201"/>
            <a:gd name="adj2" fmla="val 6870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直近に意識されそうな</a:t>
          </a:r>
          <a:r>
            <a:rPr kumimoji="1" lang="en-US" altLang="ja-JP" sz="1100" b="1"/>
            <a:t>S/R</a:t>
          </a:r>
          <a:r>
            <a:rPr kumimoji="1" lang="ja-JP" altLang="en-US" sz="1100" b="1"/>
            <a:t>がある時はそこまで粘る。</a:t>
          </a:r>
          <a:endParaRPr kumimoji="1" lang="en-US" altLang="ja-JP" sz="1100" b="1"/>
        </a:p>
        <a:p>
          <a:pPr algn="ctr"/>
          <a:r>
            <a:rPr kumimoji="1" lang="ja-JP" altLang="en-US" sz="1100" b="1"/>
            <a:t>安易に建値にしない！</a:t>
          </a:r>
          <a:endParaRPr kumimoji="1" lang="en-US" altLang="ja-JP" sz="1100" b="1"/>
        </a:p>
      </xdr:txBody>
    </xdr:sp>
    <xdr:clientData/>
  </xdr:twoCellAnchor>
  <xdr:twoCellAnchor>
    <xdr:from>
      <xdr:col>0</xdr:col>
      <xdr:colOff>446988</xdr:colOff>
      <xdr:row>75</xdr:row>
      <xdr:rowOff>34565</xdr:rowOff>
    </xdr:from>
    <xdr:to>
      <xdr:col>2</xdr:col>
      <xdr:colOff>510619</xdr:colOff>
      <xdr:row>79</xdr:row>
      <xdr:rowOff>117834</xdr:rowOff>
    </xdr:to>
    <xdr:sp macro="" textlink="">
      <xdr:nvSpPr>
        <xdr:cNvPr id="101" name="角丸四角形吹き出し 100"/>
        <xdr:cNvSpPr/>
      </xdr:nvSpPr>
      <xdr:spPr>
        <a:xfrm>
          <a:off x="446988" y="12554539"/>
          <a:ext cx="1418734" cy="751001"/>
        </a:xfrm>
        <a:prstGeom prst="wedgeRoundRectCallout">
          <a:avLst>
            <a:gd name="adj1" fmla="val -29507"/>
            <a:gd name="adj2" fmla="val -8287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今回の場合は意識されてると読んだ下値では遅かった</a:t>
          </a:r>
          <a:r>
            <a:rPr kumimoji="1" lang="en-US" altLang="ja-JP" sz="1100" b="1"/>
            <a:t>×</a:t>
          </a:r>
        </a:p>
      </xdr:txBody>
    </xdr:sp>
    <xdr:clientData/>
  </xdr:twoCellAnchor>
  <xdr:twoCellAnchor>
    <xdr:from>
      <xdr:col>2</xdr:col>
      <xdr:colOff>648487</xdr:colOff>
      <xdr:row>75</xdr:row>
      <xdr:rowOff>108408</xdr:rowOff>
    </xdr:from>
    <xdr:to>
      <xdr:col>4</xdr:col>
      <xdr:colOff>589175</xdr:colOff>
      <xdr:row>78</xdr:row>
      <xdr:rowOff>157114</xdr:rowOff>
    </xdr:to>
    <xdr:sp macro="" textlink="">
      <xdr:nvSpPr>
        <xdr:cNvPr id="102" name="角丸四角形吹き出し 101"/>
        <xdr:cNvSpPr/>
      </xdr:nvSpPr>
      <xdr:spPr>
        <a:xfrm>
          <a:off x="2003590" y="12628382"/>
          <a:ext cx="1295791" cy="549505"/>
        </a:xfrm>
        <a:prstGeom prst="wedgeRoundRectCallout">
          <a:avLst>
            <a:gd name="adj1" fmla="val -62730"/>
            <a:gd name="adj2" fmla="val -2664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売り圧力の溜まり方を読むべし！</a:t>
          </a:r>
          <a:endParaRPr kumimoji="1" lang="en-US" altLang="ja-JP"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FFC000"/>
  </sheetPr>
  <dimension ref="A1:L10"/>
  <sheetViews>
    <sheetView zoomScaleSheetLayoutView="100" workbookViewId="0">
      <pane ySplit="1" topLeftCell="A9" activePane="bottomLeft" state="frozen"/>
      <selection pane="bottomLeft" activeCell="B7" sqref="B7:B8"/>
    </sheetView>
  </sheetViews>
  <sheetFormatPr defaultColWidth="10" defaultRowHeight="13.5" customHeight="1"/>
  <cols>
    <col min="1" max="1" width="3.875" customWidth="1"/>
    <col min="2" max="2" width="23.5" style="92"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86" t="s">
        <v>68</v>
      </c>
      <c r="B1" s="87" t="s">
        <v>124</v>
      </c>
      <c r="C1" s="88" t="s">
        <v>116</v>
      </c>
      <c r="D1" s="193" t="s">
        <v>117</v>
      </c>
      <c r="E1" s="193"/>
      <c r="F1" s="193"/>
      <c r="G1" s="193"/>
      <c r="H1" s="193"/>
      <c r="I1" s="193"/>
      <c r="J1" s="193"/>
      <c r="K1" s="193"/>
      <c r="L1" s="193"/>
    </row>
    <row r="2" spans="1:12" ht="29.25" customHeight="1">
      <c r="A2" s="89">
        <v>1</v>
      </c>
      <c r="B2" s="90" t="s">
        <v>118</v>
      </c>
      <c r="C2" s="90" t="s">
        <v>119</v>
      </c>
      <c r="D2" s="194" t="s">
        <v>120</v>
      </c>
      <c r="E2" s="188"/>
      <c r="F2" s="188"/>
      <c r="G2" s="188"/>
      <c r="H2" s="188"/>
      <c r="I2" s="188"/>
      <c r="J2" s="188"/>
      <c r="K2" s="188"/>
      <c r="L2" s="188"/>
    </row>
    <row r="3" spans="1:12" ht="127.5" customHeight="1">
      <c r="A3" s="97">
        <v>2</v>
      </c>
      <c r="B3" s="91" t="s">
        <v>121</v>
      </c>
      <c r="C3" s="91" t="s">
        <v>122</v>
      </c>
      <c r="D3" s="195" t="s">
        <v>123</v>
      </c>
      <c r="E3" s="184"/>
      <c r="F3" s="184"/>
      <c r="G3" s="184"/>
      <c r="H3" s="184"/>
      <c r="I3" s="184"/>
      <c r="J3" s="184"/>
      <c r="K3" s="184"/>
      <c r="L3" s="184"/>
    </row>
    <row r="4" spans="1:12" ht="80.25" customHeight="1">
      <c r="A4" s="97">
        <v>3</v>
      </c>
      <c r="B4" s="91" t="s">
        <v>121</v>
      </c>
      <c r="C4" s="91" t="s">
        <v>125</v>
      </c>
      <c r="D4" s="183" t="s">
        <v>144</v>
      </c>
      <c r="E4" s="184"/>
      <c r="F4" s="184"/>
      <c r="G4" s="184"/>
      <c r="H4" s="184"/>
      <c r="I4" s="184"/>
      <c r="J4" s="184"/>
      <c r="K4" s="184"/>
      <c r="L4" s="184"/>
    </row>
    <row r="5" spans="1:12" ht="150.75" customHeight="1">
      <c r="A5" s="97">
        <v>3</v>
      </c>
      <c r="B5" s="91" t="s">
        <v>121</v>
      </c>
      <c r="C5" s="159" t="s">
        <v>284</v>
      </c>
      <c r="D5" s="196" t="s">
        <v>285</v>
      </c>
      <c r="E5" s="197"/>
      <c r="F5" s="197"/>
      <c r="G5" s="197"/>
      <c r="H5" s="197"/>
      <c r="I5" s="197"/>
      <c r="J5" s="197"/>
      <c r="K5" s="197"/>
      <c r="L5" s="197"/>
    </row>
    <row r="6" spans="1:12" ht="32.25" customHeight="1">
      <c r="A6" s="190" t="s">
        <v>324</v>
      </c>
      <c r="B6" s="191"/>
      <c r="C6" s="191"/>
      <c r="D6" s="191"/>
      <c r="E6" s="191"/>
      <c r="F6" s="191"/>
      <c r="G6" s="191"/>
      <c r="H6" s="191"/>
      <c r="I6" s="191"/>
      <c r="J6" s="191"/>
      <c r="K6" s="191"/>
      <c r="L6" s="192"/>
    </row>
    <row r="7" spans="1:12" ht="150.75" customHeight="1">
      <c r="A7" s="185">
        <v>3</v>
      </c>
      <c r="B7" s="187" t="s">
        <v>121</v>
      </c>
      <c r="C7" s="189" t="s">
        <v>406</v>
      </c>
      <c r="D7" s="183" t="s">
        <v>407</v>
      </c>
      <c r="E7" s="184"/>
      <c r="F7" s="184"/>
      <c r="G7" s="184"/>
      <c r="H7" s="184"/>
      <c r="I7" s="184"/>
      <c r="J7" s="184"/>
      <c r="K7" s="184"/>
      <c r="L7" s="184"/>
    </row>
    <row r="8" spans="1:12" ht="150.75" customHeight="1">
      <c r="A8" s="186"/>
      <c r="B8" s="188"/>
      <c r="C8" s="188"/>
      <c r="D8" s="183" t="s">
        <v>408</v>
      </c>
      <c r="E8" s="184"/>
      <c r="F8" s="184"/>
      <c r="G8" s="184"/>
      <c r="H8" s="184"/>
      <c r="I8" s="184"/>
      <c r="J8" s="184"/>
      <c r="K8" s="184"/>
      <c r="L8" s="184"/>
    </row>
    <row r="9" spans="1:12" ht="150.75" customHeight="1">
      <c r="A9" s="198">
        <v>4</v>
      </c>
      <c r="B9" s="187" t="s">
        <v>121</v>
      </c>
      <c r="C9" s="189" t="s">
        <v>499</v>
      </c>
      <c r="D9" s="183" t="s">
        <v>497</v>
      </c>
      <c r="E9" s="184"/>
      <c r="F9" s="184"/>
      <c r="G9" s="184"/>
      <c r="H9" s="184"/>
      <c r="I9" s="184"/>
      <c r="J9" s="184"/>
      <c r="K9" s="184"/>
      <c r="L9" s="184"/>
    </row>
    <row r="10" spans="1:12" ht="150.75" customHeight="1">
      <c r="A10" s="199"/>
      <c r="B10" s="188"/>
      <c r="C10" s="188"/>
      <c r="D10" s="183" t="s">
        <v>498</v>
      </c>
      <c r="E10" s="184"/>
      <c r="F10" s="184"/>
      <c r="G10" s="184"/>
      <c r="H10" s="184"/>
      <c r="I10" s="184"/>
      <c r="J10" s="184"/>
      <c r="K10" s="184"/>
      <c r="L10" s="184"/>
    </row>
  </sheetData>
  <mergeCells count="16">
    <mergeCell ref="A9:A10"/>
    <mergeCell ref="B9:B10"/>
    <mergeCell ref="C9:C10"/>
    <mergeCell ref="D9:L9"/>
    <mergeCell ref="D10:L10"/>
    <mergeCell ref="A6:L6"/>
    <mergeCell ref="D1:L1"/>
    <mergeCell ref="D2:L2"/>
    <mergeCell ref="D3:L3"/>
    <mergeCell ref="D4:L4"/>
    <mergeCell ref="D5:L5"/>
    <mergeCell ref="D8:L8"/>
    <mergeCell ref="A7:A8"/>
    <mergeCell ref="B7:B8"/>
    <mergeCell ref="C7:C8"/>
    <mergeCell ref="D7:L7"/>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2">
    <tabColor rgb="FFFFC000"/>
  </sheetPr>
  <dimension ref="A1:R137"/>
  <sheetViews>
    <sheetView zoomScaleSheetLayoutView="100" workbookViewId="0">
      <pane ySplit="1" topLeftCell="A48" activePane="bottomLeft" state="frozen"/>
      <selection pane="bottomLeft" activeCell="E76" sqref="E76"/>
    </sheetView>
  </sheetViews>
  <sheetFormatPr defaultColWidth="10" defaultRowHeight="13.5" customHeight="1"/>
  <cols>
    <col min="1" max="1" width="3.75" customWidth="1"/>
    <col min="2" max="2" width="11.625" style="2" customWidth="1"/>
    <col min="3" max="3" width="5.375" style="93" customWidth="1"/>
    <col min="4" max="4" width="6.75" customWidth="1"/>
    <col min="5" max="5" width="10.5" style="28" customWidth="1"/>
    <col min="6" max="6" width="9.75" customWidth="1"/>
    <col min="7" max="7" width="12.75" style="26" customWidth="1"/>
    <col min="8" max="8" width="13.5" customWidth="1"/>
    <col min="9" max="9" width="4" customWidth="1"/>
    <col min="10" max="10" width="12.125" style="27" customWidth="1"/>
    <col min="12" max="12" width="10.875" style="28" customWidth="1"/>
    <col min="13" max="13" width="6.125" customWidth="1"/>
    <col min="14" max="15" width="8.125" style="29" customWidth="1"/>
    <col min="16" max="16" width="9.375" customWidth="1"/>
    <col min="17" max="17" width="10.25" style="31" customWidth="1"/>
    <col min="18" max="18" width="11.625" hidden="1" customWidth="1"/>
  </cols>
  <sheetData>
    <row r="1" spans="1:18" ht="14.25" thickBot="1">
      <c r="A1" s="17" t="s">
        <v>68</v>
      </c>
      <c r="B1" s="18" t="s">
        <v>69</v>
      </c>
      <c r="C1" s="168" t="s">
        <v>70</v>
      </c>
      <c r="D1" s="19" t="s">
        <v>71</v>
      </c>
      <c r="E1" s="20" t="s">
        <v>72</v>
      </c>
      <c r="F1" s="19" t="s">
        <v>73</v>
      </c>
      <c r="G1" s="21" t="s">
        <v>74</v>
      </c>
      <c r="H1" s="19" t="s">
        <v>75</v>
      </c>
      <c r="I1" s="19" t="s">
        <v>76</v>
      </c>
      <c r="J1" s="21" t="s">
        <v>77</v>
      </c>
      <c r="K1" s="19" t="s">
        <v>78</v>
      </c>
      <c r="L1" s="20" t="s">
        <v>79</v>
      </c>
      <c r="M1" s="19" t="s">
        <v>80</v>
      </c>
      <c r="N1" s="22" t="s">
        <v>81</v>
      </c>
      <c r="O1" s="23" t="s">
        <v>82</v>
      </c>
      <c r="P1" s="24" t="s">
        <v>83</v>
      </c>
      <c r="Q1" s="25" t="s">
        <v>84</v>
      </c>
    </row>
    <row r="2" spans="1:18">
      <c r="A2" s="178" t="s">
        <v>501</v>
      </c>
      <c r="B2" s="179"/>
      <c r="C2" s="170"/>
      <c r="D2" s="39"/>
      <c r="E2" s="164"/>
      <c r="F2" s="39"/>
      <c r="G2" s="180"/>
      <c r="H2" s="39"/>
      <c r="I2" s="39"/>
      <c r="J2" s="180"/>
      <c r="K2" s="39"/>
      <c r="L2" s="164"/>
      <c r="M2" s="39"/>
      <c r="N2" s="165"/>
      <c r="O2" s="165"/>
      <c r="P2" s="39"/>
      <c r="Q2" s="181"/>
    </row>
    <row r="3" spans="1:18" s="3" customFormat="1">
      <c r="A3" s="95">
        <v>1</v>
      </c>
      <c r="B3" s="166" t="s">
        <v>325</v>
      </c>
      <c r="C3" s="169" t="s">
        <v>86</v>
      </c>
      <c r="D3" s="170">
        <v>0.3</v>
      </c>
      <c r="E3" s="164"/>
      <c r="F3" s="39"/>
      <c r="G3" s="171" t="s">
        <v>330</v>
      </c>
      <c r="H3" s="170">
        <v>1.0075099999999999</v>
      </c>
      <c r="I3" s="39"/>
      <c r="J3" s="150" t="s">
        <v>333</v>
      </c>
      <c r="K3" s="170">
        <v>1.00654</v>
      </c>
      <c r="L3" s="164"/>
      <c r="M3" s="167" t="s">
        <v>338</v>
      </c>
      <c r="N3" s="173">
        <v>9.6999999999999993</v>
      </c>
      <c r="O3" s="165"/>
      <c r="P3" s="170">
        <v>2489</v>
      </c>
      <c r="Q3" s="94">
        <v>502489</v>
      </c>
    </row>
    <row r="4" spans="1:18">
      <c r="A4">
        <v>2</v>
      </c>
      <c r="B4" s="2" t="s">
        <v>85</v>
      </c>
      <c r="C4" s="93" t="s">
        <v>316</v>
      </c>
      <c r="D4">
        <v>0.5</v>
      </c>
      <c r="G4" s="26" t="s">
        <v>329</v>
      </c>
      <c r="H4">
        <v>0.73334999999999995</v>
      </c>
      <c r="J4" s="150" t="s">
        <v>334</v>
      </c>
      <c r="K4">
        <v>0.73336999999999997</v>
      </c>
      <c r="M4" s="163" t="s">
        <v>339</v>
      </c>
      <c r="O4" s="30">
        <v>-0.2</v>
      </c>
      <c r="P4">
        <v>-174</v>
      </c>
      <c r="Q4" s="162">
        <f t="shared" ref="Q4:Q43" si="0">Q3+P4</f>
        <v>502315</v>
      </c>
      <c r="R4" s="96"/>
    </row>
    <row r="5" spans="1:18">
      <c r="A5">
        <v>3</v>
      </c>
      <c r="B5" s="2" t="s">
        <v>326</v>
      </c>
      <c r="C5" s="93" t="s">
        <v>328</v>
      </c>
      <c r="D5">
        <v>0.5</v>
      </c>
      <c r="G5" s="26" t="s">
        <v>331</v>
      </c>
      <c r="H5">
        <v>0.71092999999999995</v>
      </c>
      <c r="J5" s="150" t="s">
        <v>331</v>
      </c>
      <c r="K5">
        <v>0.70923000000000003</v>
      </c>
      <c r="M5" s="163" t="s">
        <v>340</v>
      </c>
      <c r="O5" s="30">
        <v>-17</v>
      </c>
      <c r="P5">
        <v>-10079</v>
      </c>
      <c r="Q5" s="162">
        <f t="shared" si="0"/>
        <v>492236</v>
      </c>
      <c r="R5" s="96"/>
    </row>
    <row r="6" spans="1:18">
      <c r="A6">
        <v>4</v>
      </c>
      <c r="B6" s="2" t="s">
        <v>327</v>
      </c>
      <c r="C6" s="93" t="s">
        <v>86</v>
      </c>
      <c r="D6">
        <v>0.3</v>
      </c>
      <c r="G6" s="26" t="s">
        <v>332</v>
      </c>
      <c r="H6">
        <v>1.07318</v>
      </c>
      <c r="J6" s="150" t="s">
        <v>332</v>
      </c>
      <c r="K6">
        <v>1.0731900000000001</v>
      </c>
      <c r="M6" s="17" t="s">
        <v>339</v>
      </c>
      <c r="O6" s="30">
        <v>-0.1</v>
      </c>
      <c r="P6">
        <v>-35</v>
      </c>
      <c r="Q6" s="162">
        <f t="shared" si="0"/>
        <v>492201</v>
      </c>
      <c r="R6" s="96"/>
    </row>
    <row r="7" spans="1:18">
      <c r="A7">
        <v>5</v>
      </c>
      <c r="B7" s="2" t="s">
        <v>342</v>
      </c>
      <c r="C7" s="93" t="s">
        <v>343</v>
      </c>
      <c r="D7">
        <v>0.5</v>
      </c>
      <c r="G7" s="26" t="s">
        <v>344</v>
      </c>
      <c r="H7">
        <v>1.4095599999999999</v>
      </c>
      <c r="J7" s="150" t="s">
        <v>345</v>
      </c>
      <c r="K7">
        <v>1.41107</v>
      </c>
      <c r="M7" s="172" t="s">
        <v>340</v>
      </c>
      <c r="O7" s="30">
        <v>-15.1</v>
      </c>
      <c r="P7">
        <v>-6322</v>
      </c>
      <c r="Q7" s="162">
        <f t="shared" si="0"/>
        <v>485879</v>
      </c>
      <c r="R7" s="96"/>
    </row>
    <row r="8" spans="1:18">
      <c r="J8" s="150"/>
      <c r="M8" s="172"/>
      <c r="O8" s="30"/>
      <c r="P8" s="99">
        <f>SUM(P3:P7)</f>
        <v>-14121</v>
      </c>
      <c r="Q8" s="162"/>
      <c r="R8" s="96"/>
    </row>
    <row r="9" spans="1:18">
      <c r="J9" s="150"/>
      <c r="M9" s="172"/>
      <c r="O9" s="30"/>
      <c r="Q9" s="162"/>
      <c r="R9" s="96"/>
    </row>
    <row r="10" spans="1:18">
      <c r="A10">
        <v>6</v>
      </c>
      <c r="B10" s="2" t="s">
        <v>352</v>
      </c>
      <c r="C10" s="93" t="s">
        <v>86</v>
      </c>
      <c r="D10">
        <v>0.5</v>
      </c>
      <c r="G10" s="26" t="s">
        <v>353</v>
      </c>
      <c r="H10">
        <v>0.65646000000000004</v>
      </c>
      <c r="J10" s="150" t="s">
        <v>355</v>
      </c>
      <c r="K10">
        <v>0.65644999999999998</v>
      </c>
      <c r="M10" s="172" t="s">
        <v>339</v>
      </c>
      <c r="N10" s="29">
        <v>0.1</v>
      </c>
      <c r="O10" s="30"/>
      <c r="P10">
        <v>59</v>
      </c>
      <c r="Q10" s="162">
        <f>Q7+P10</f>
        <v>485938</v>
      </c>
      <c r="R10" s="96"/>
    </row>
    <row r="11" spans="1:18">
      <c r="A11">
        <v>7</v>
      </c>
      <c r="B11" s="2" t="s">
        <v>352</v>
      </c>
      <c r="C11" s="93" t="s">
        <v>86</v>
      </c>
      <c r="D11">
        <v>0.35</v>
      </c>
      <c r="G11" s="26" t="s">
        <v>354</v>
      </c>
      <c r="H11">
        <v>0.65510999999999997</v>
      </c>
      <c r="J11" s="150" t="s">
        <v>356</v>
      </c>
      <c r="K11">
        <v>0.65510000000000002</v>
      </c>
      <c r="M11" s="172" t="s">
        <v>339</v>
      </c>
      <c r="N11" s="29">
        <v>1</v>
      </c>
      <c r="O11" s="30"/>
      <c r="P11">
        <v>42</v>
      </c>
      <c r="Q11" s="162">
        <f t="shared" si="0"/>
        <v>485980</v>
      </c>
      <c r="R11" s="96"/>
    </row>
    <row r="12" spans="1:18">
      <c r="A12">
        <v>8</v>
      </c>
      <c r="B12" s="2" t="s">
        <v>359</v>
      </c>
      <c r="C12" s="93" t="s">
        <v>86</v>
      </c>
      <c r="D12">
        <v>0.11</v>
      </c>
      <c r="G12" s="26" t="s">
        <v>363</v>
      </c>
      <c r="H12">
        <v>1.54928</v>
      </c>
      <c r="J12" s="150" t="s">
        <v>368</v>
      </c>
      <c r="K12">
        <v>1.5575300000000001</v>
      </c>
      <c r="M12" s="172" t="s">
        <v>340</v>
      </c>
      <c r="O12" s="30">
        <v>-82.5</v>
      </c>
      <c r="P12">
        <v>-7439</v>
      </c>
      <c r="Q12" s="162">
        <f t="shared" si="0"/>
        <v>478541</v>
      </c>
      <c r="R12" s="96"/>
    </row>
    <row r="13" spans="1:18">
      <c r="A13">
        <v>9</v>
      </c>
      <c r="B13" s="2" t="s">
        <v>359</v>
      </c>
      <c r="C13" s="93" t="s">
        <v>86</v>
      </c>
      <c r="D13">
        <v>0.11</v>
      </c>
      <c r="G13" s="26" t="s">
        <v>364</v>
      </c>
      <c r="H13">
        <v>1.5511299999999999</v>
      </c>
      <c r="J13" s="150" t="s">
        <v>369</v>
      </c>
      <c r="K13">
        <v>1.55115</v>
      </c>
      <c r="M13" s="172" t="s">
        <v>339</v>
      </c>
      <c r="O13" s="30">
        <v>-0.2</v>
      </c>
      <c r="P13">
        <v>-18</v>
      </c>
      <c r="Q13" s="162">
        <f t="shared" si="0"/>
        <v>478523</v>
      </c>
      <c r="R13" s="96"/>
    </row>
    <row r="14" spans="1:18">
      <c r="A14">
        <v>10</v>
      </c>
      <c r="B14" s="2" t="s">
        <v>360</v>
      </c>
      <c r="C14" s="93" t="s">
        <v>86</v>
      </c>
      <c r="D14">
        <v>0.2</v>
      </c>
      <c r="G14" s="26" t="s">
        <v>365</v>
      </c>
      <c r="H14">
        <v>1.0047299999999999</v>
      </c>
      <c r="J14" s="150" t="s">
        <v>372</v>
      </c>
      <c r="K14">
        <v>1.00613</v>
      </c>
      <c r="M14" s="172" t="s">
        <v>340</v>
      </c>
      <c r="O14" s="30">
        <v>-14</v>
      </c>
      <c r="P14">
        <v>-3279</v>
      </c>
      <c r="Q14" s="162">
        <f t="shared" si="0"/>
        <v>475244</v>
      </c>
      <c r="R14" s="96"/>
    </row>
    <row r="15" spans="1:18">
      <c r="A15">
        <v>11</v>
      </c>
      <c r="B15" s="2" t="s">
        <v>360</v>
      </c>
      <c r="C15" s="93" t="s">
        <v>86</v>
      </c>
      <c r="D15">
        <v>0.1</v>
      </c>
      <c r="G15" s="26" t="s">
        <v>366</v>
      </c>
      <c r="H15">
        <v>1.00614</v>
      </c>
      <c r="J15" s="150" t="s">
        <v>370</v>
      </c>
      <c r="K15">
        <v>1.0080499999999999</v>
      </c>
      <c r="M15" s="172" t="s">
        <v>340</v>
      </c>
      <c r="O15" s="30">
        <v>-19.100000000000001</v>
      </c>
      <c r="P15">
        <v>-2232</v>
      </c>
      <c r="Q15" s="162">
        <f t="shared" si="0"/>
        <v>473012</v>
      </c>
      <c r="R15" s="96"/>
    </row>
    <row r="16" spans="1:18">
      <c r="A16">
        <v>12</v>
      </c>
      <c r="B16" s="2" t="s">
        <v>361</v>
      </c>
      <c r="C16" s="93" t="s">
        <v>362</v>
      </c>
      <c r="D16">
        <v>0.5</v>
      </c>
      <c r="G16" s="26" t="s">
        <v>367</v>
      </c>
      <c r="H16">
        <v>170.28899999999999</v>
      </c>
      <c r="J16" s="150" t="s">
        <v>371</v>
      </c>
      <c r="K16">
        <v>169.93299999999999</v>
      </c>
      <c r="M16" s="172" t="s">
        <v>340</v>
      </c>
      <c r="O16" s="30">
        <v>-35.6</v>
      </c>
      <c r="P16">
        <v>-17800</v>
      </c>
      <c r="Q16" s="162">
        <f t="shared" si="0"/>
        <v>455212</v>
      </c>
      <c r="R16" s="96"/>
    </row>
    <row r="17" spans="1:18">
      <c r="J17" s="150"/>
      <c r="M17" s="172"/>
      <c r="O17" s="30"/>
      <c r="P17" s="99">
        <f>SUM(P10:P16)</f>
        <v>-30667</v>
      </c>
      <c r="Q17" s="162"/>
      <c r="R17" s="96"/>
    </row>
    <row r="18" spans="1:18">
      <c r="J18" s="150"/>
      <c r="M18" s="172"/>
      <c r="O18" s="30"/>
      <c r="Q18" s="162"/>
      <c r="R18" s="96"/>
    </row>
    <row r="19" spans="1:18">
      <c r="A19">
        <v>13</v>
      </c>
      <c r="B19" s="2" t="s">
        <v>379</v>
      </c>
      <c r="C19" s="93" t="s">
        <v>86</v>
      </c>
      <c r="D19">
        <v>0.1</v>
      </c>
      <c r="G19" s="26" t="s">
        <v>382</v>
      </c>
      <c r="H19">
        <v>0.75914000000000004</v>
      </c>
      <c r="J19" s="150" t="s">
        <v>385</v>
      </c>
      <c r="K19">
        <v>0.76207000000000003</v>
      </c>
      <c r="M19" s="172" t="s">
        <v>387</v>
      </c>
      <c r="O19" s="30">
        <v>-29.3</v>
      </c>
      <c r="P19">
        <v>-4933</v>
      </c>
      <c r="Q19" s="162">
        <f>Q16+P19</f>
        <v>450279</v>
      </c>
      <c r="R19" s="96"/>
    </row>
    <row r="20" spans="1:18">
      <c r="A20">
        <v>14</v>
      </c>
      <c r="B20" s="2" t="s">
        <v>380</v>
      </c>
      <c r="C20" s="93" t="s">
        <v>328</v>
      </c>
      <c r="D20">
        <v>0.2</v>
      </c>
      <c r="G20" s="26" t="s">
        <v>383</v>
      </c>
      <c r="H20">
        <v>81.378</v>
      </c>
      <c r="J20" s="150" t="s">
        <v>386</v>
      </c>
      <c r="K20">
        <v>80.837000000000003</v>
      </c>
      <c r="M20" s="172" t="s">
        <v>387</v>
      </c>
      <c r="O20" s="30">
        <v>-54.1</v>
      </c>
      <c r="P20">
        <v>-10820</v>
      </c>
      <c r="Q20" s="162">
        <f t="shared" si="0"/>
        <v>439459</v>
      </c>
      <c r="R20" s="96"/>
    </row>
    <row r="21" spans="1:18">
      <c r="A21">
        <v>15</v>
      </c>
      <c r="B21" s="2" t="s">
        <v>380</v>
      </c>
      <c r="C21" s="93" t="s">
        <v>328</v>
      </c>
      <c r="D21">
        <v>0.2</v>
      </c>
      <c r="G21" s="26" t="s">
        <v>383</v>
      </c>
      <c r="H21">
        <v>81.283000000000001</v>
      </c>
      <c r="J21" s="150" t="s">
        <v>386</v>
      </c>
      <c r="K21">
        <v>80.837000000000003</v>
      </c>
      <c r="M21" s="172" t="s">
        <v>387</v>
      </c>
      <c r="O21" s="30">
        <v>-44.6</v>
      </c>
      <c r="P21">
        <v>-8920</v>
      </c>
      <c r="Q21" s="162">
        <f t="shared" si="0"/>
        <v>430539</v>
      </c>
      <c r="R21" s="96"/>
    </row>
    <row r="22" spans="1:18">
      <c r="A22">
        <v>16</v>
      </c>
      <c r="B22" s="2" t="s">
        <v>381</v>
      </c>
      <c r="C22" s="93" t="s">
        <v>86</v>
      </c>
      <c r="D22">
        <v>0.5</v>
      </c>
      <c r="G22" s="26" t="s">
        <v>384</v>
      </c>
      <c r="H22">
        <v>1.5678700000000001</v>
      </c>
      <c r="J22" s="150" t="s">
        <v>384</v>
      </c>
      <c r="K22">
        <v>1.57203</v>
      </c>
      <c r="M22" s="172" t="s">
        <v>387</v>
      </c>
      <c r="O22" s="30">
        <v>-41.6</v>
      </c>
      <c r="P22">
        <v>-16889</v>
      </c>
      <c r="Q22" s="162">
        <f t="shared" si="0"/>
        <v>413650</v>
      </c>
      <c r="R22" s="96"/>
    </row>
    <row r="23" spans="1:18">
      <c r="J23" s="150"/>
      <c r="O23" s="30"/>
      <c r="P23" s="99">
        <f>SUM(P19:P22)</f>
        <v>-41562</v>
      </c>
      <c r="R23" s="96"/>
    </row>
    <row r="24" spans="1:18">
      <c r="J24" s="150"/>
      <c r="O24" s="30"/>
      <c r="R24" s="96"/>
    </row>
    <row r="25" spans="1:18">
      <c r="A25">
        <v>17</v>
      </c>
      <c r="B25" s="2" t="s">
        <v>391</v>
      </c>
      <c r="C25" s="93" t="s">
        <v>394</v>
      </c>
      <c r="D25">
        <v>0.5</v>
      </c>
      <c r="G25" s="26" t="s">
        <v>396</v>
      </c>
      <c r="H25">
        <v>0.69955999999999996</v>
      </c>
      <c r="J25" s="150" t="s">
        <v>399</v>
      </c>
      <c r="K25">
        <v>0.70152999999999999</v>
      </c>
      <c r="M25" s="172" t="s">
        <v>402</v>
      </c>
      <c r="O25" s="30">
        <v>-19.7</v>
      </c>
      <c r="P25">
        <v>-11693</v>
      </c>
      <c r="Q25" s="162">
        <f>Q22+P25</f>
        <v>401957</v>
      </c>
      <c r="R25" s="96"/>
    </row>
    <row r="26" spans="1:18">
      <c r="A26">
        <v>18</v>
      </c>
      <c r="B26" s="2" t="s">
        <v>392</v>
      </c>
      <c r="C26" s="93" t="s">
        <v>395</v>
      </c>
      <c r="D26">
        <v>0.2</v>
      </c>
      <c r="G26" s="26" t="s">
        <v>397</v>
      </c>
      <c r="H26">
        <v>1.42475</v>
      </c>
      <c r="J26" s="150" t="s">
        <v>400</v>
      </c>
      <c r="K26">
        <v>1.4348700000000001</v>
      </c>
      <c r="M26" s="172" t="s">
        <v>403</v>
      </c>
      <c r="N26" s="29">
        <v>101.2</v>
      </c>
      <c r="O26" s="30"/>
      <c r="P26">
        <v>24026</v>
      </c>
      <c r="Q26" s="162">
        <f t="shared" si="0"/>
        <v>425983</v>
      </c>
      <c r="R26" s="96"/>
    </row>
    <row r="27" spans="1:18">
      <c r="A27">
        <v>19</v>
      </c>
      <c r="B27" s="2" t="s">
        <v>393</v>
      </c>
      <c r="C27" s="93" t="s">
        <v>394</v>
      </c>
      <c r="D27">
        <v>0.3</v>
      </c>
      <c r="G27" s="26" t="s">
        <v>398</v>
      </c>
      <c r="H27">
        <v>1.09101</v>
      </c>
      <c r="J27" s="150" t="s">
        <v>401</v>
      </c>
      <c r="K27">
        <v>1.08602</v>
      </c>
      <c r="M27" s="172" t="s">
        <v>403</v>
      </c>
      <c r="N27" s="29">
        <v>49.9</v>
      </c>
      <c r="O27" s="30"/>
      <c r="P27">
        <v>18155</v>
      </c>
      <c r="Q27" s="162">
        <f t="shared" si="0"/>
        <v>444138</v>
      </c>
      <c r="R27" s="96"/>
    </row>
    <row r="28" spans="1:18">
      <c r="J28" s="150"/>
      <c r="O28" s="30"/>
      <c r="P28" s="99">
        <f>SUM(P25:P27)</f>
        <v>30488</v>
      </c>
      <c r="R28" s="96"/>
    </row>
    <row r="29" spans="1:18">
      <c r="J29" s="150"/>
      <c r="O29" s="182" t="s">
        <v>502</v>
      </c>
      <c r="P29" s="99">
        <f>SUM(P28,P23,P17,P8)</f>
        <v>-55862</v>
      </c>
      <c r="R29" s="96"/>
    </row>
    <row r="30" spans="1:18">
      <c r="J30" s="150"/>
      <c r="O30" s="30"/>
      <c r="R30" s="96"/>
    </row>
    <row r="31" spans="1:18">
      <c r="A31" s="99" t="s">
        <v>500</v>
      </c>
      <c r="J31" s="150"/>
      <c r="O31" s="30"/>
      <c r="R31" s="96"/>
    </row>
    <row r="32" spans="1:18">
      <c r="A32">
        <v>20</v>
      </c>
      <c r="B32" s="2" t="s">
        <v>412</v>
      </c>
      <c r="C32" s="93" t="s">
        <v>417</v>
      </c>
      <c r="D32">
        <v>0.25</v>
      </c>
      <c r="G32" s="26" t="s">
        <v>420</v>
      </c>
      <c r="H32">
        <v>0.71972999999999998</v>
      </c>
      <c r="J32" s="150" t="s">
        <v>426</v>
      </c>
      <c r="K32">
        <v>0.72214999999999996</v>
      </c>
      <c r="M32" s="172" t="s">
        <v>432</v>
      </c>
      <c r="O32" s="30">
        <v>-24.2</v>
      </c>
      <c r="P32">
        <v>-8251</v>
      </c>
      <c r="Q32" s="162">
        <f>Q27+P32</f>
        <v>435887</v>
      </c>
      <c r="R32" s="96"/>
    </row>
    <row r="33" spans="1:18">
      <c r="A33">
        <v>21</v>
      </c>
      <c r="B33" s="2" t="s">
        <v>413</v>
      </c>
      <c r="C33" s="93" t="s">
        <v>418</v>
      </c>
      <c r="D33">
        <v>0.2</v>
      </c>
      <c r="G33" s="26" t="s">
        <v>421</v>
      </c>
      <c r="H33">
        <v>1.5373399999999999</v>
      </c>
      <c r="J33" s="150" t="s">
        <v>427</v>
      </c>
      <c r="K33">
        <v>1.53731</v>
      </c>
      <c r="M33" s="172" t="s">
        <v>433</v>
      </c>
      <c r="O33" s="30">
        <v>-0.3</v>
      </c>
      <c r="P33">
        <v>-51</v>
      </c>
      <c r="Q33" s="162">
        <f t="shared" si="0"/>
        <v>435836</v>
      </c>
      <c r="R33" s="96"/>
    </row>
    <row r="34" spans="1:18">
      <c r="A34">
        <v>22</v>
      </c>
      <c r="B34" s="2" t="s">
        <v>414</v>
      </c>
      <c r="C34" s="93" t="s">
        <v>417</v>
      </c>
      <c r="D34">
        <v>0.15</v>
      </c>
      <c r="G34" s="26" t="s">
        <v>422</v>
      </c>
      <c r="H34">
        <v>1.01597</v>
      </c>
      <c r="J34" s="150" t="s">
        <v>428</v>
      </c>
      <c r="K34">
        <v>1.0178700000000001</v>
      </c>
      <c r="M34" s="172" t="s">
        <v>434</v>
      </c>
      <c r="O34" s="30">
        <v>-1.9</v>
      </c>
      <c r="P34">
        <v>-3349</v>
      </c>
      <c r="Q34" s="162">
        <f t="shared" si="0"/>
        <v>432487</v>
      </c>
      <c r="R34" s="96"/>
    </row>
    <row r="35" spans="1:18">
      <c r="A35">
        <v>23</v>
      </c>
      <c r="B35" s="2" t="s">
        <v>412</v>
      </c>
      <c r="C35" s="93" t="s">
        <v>417</v>
      </c>
      <c r="D35">
        <v>0.1</v>
      </c>
      <c r="G35" s="26" t="s">
        <v>423</v>
      </c>
      <c r="H35">
        <v>0.71979000000000004</v>
      </c>
      <c r="J35" s="150" t="s">
        <v>429</v>
      </c>
      <c r="K35">
        <v>0.72467000000000004</v>
      </c>
      <c r="M35" s="172" t="s">
        <v>434</v>
      </c>
      <c r="O35" s="30">
        <v>-48.8</v>
      </c>
      <c r="P35">
        <v>-5722</v>
      </c>
      <c r="Q35" s="162">
        <f t="shared" si="0"/>
        <v>426765</v>
      </c>
      <c r="R35" s="96"/>
    </row>
    <row r="36" spans="1:18">
      <c r="A36">
        <v>24</v>
      </c>
      <c r="B36" s="2" t="s">
        <v>415</v>
      </c>
      <c r="C36" s="93" t="s">
        <v>417</v>
      </c>
      <c r="D36">
        <v>0.1</v>
      </c>
      <c r="G36" s="26" t="s">
        <v>424</v>
      </c>
      <c r="H36">
        <v>85.832999999999998</v>
      </c>
      <c r="J36" s="150" t="s">
        <v>430</v>
      </c>
      <c r="K36">
        <v>85.834000000000003</v>
      </c>
      <c r="M36" s="172" t="s">
        <v>434</v>
      </c>
      <c r="O36" s="30">
        <v>-0.1</v>
      </c>
      <c r="P36">
        <v>-2450</v>
      </c>
      <c r="Q36" s="162">
        <f t="shared" si="0"/>
        <v>424315</v>
      </c>
      <c r="R36" s="96"/>
    </row>
    <row r="37" spans="1:18">
      <c r="A37">
        <v>25</v>
      </c>
      <c r="B37" s="2" t="s">
        <v>416</v>
      </c>
      <c r="C37" s="93" t="s">
        <v>419</v>
      </c>
      <c r="D37">
        <v>0.1</v>
      </c>
      <c r="G37" s="26" t="s">
        <v>425</v>
      </c>
      <c r="H37">
        <v>116.497</v>
      </c>
      <c r="J37" s="150" t="s">
        <v>431</v>
      </c>
      <c r="K37">
        <v>116.491</v>
      </c>
      <c r="M37" s="172" t="s">
        <v>434</v>
      </c>
      <c r="O37" s="30">
        <v>-0.6</v>
      </c>
      <c r="P37">
        <v>-9240</v>
      </c>
      <c r="Q37" s="162">
        <f t="shared" si="0"/>
        <v>415075</v>
      </c>
      <c r="R37" s="96"/>
    </row>
    <row r="38" spans="1:18">
      <c r="J38" s="150"/>
      <c r="M38" s="172"/>
      <c r="O38" s="30"/>
      <c r="P38" s="99">
        <f>SUM(P32:P37)</f>
        <v>-29063</v>
      </c>
      <c r="Q38" s="162"/>
      <c r="R38" s="96"/>
    </row>
    <row r="39" spans="1:18">
      <c r="J39" s="150"/>
      <c r="M39" s="172"/>
      <c r="O39" s="30"/>
      <c r="Q39" s="162"/>
      <c r="R39" s="96"/>
    </row>
    <row r="40" spans="1:18">
      <c r="A40">
        <v>26</v>
      </c>
      <c r="B40" s="2" t="s">
        <v>438</v>
      </c>
      <c r="C40" s="93" t="s">
        <v>441</v>
      </c>
      <c r="D40">
        <v>0.1</v>
      </c>
      <c r="G40" s="26" t="s">
        <v>443</v>
      </c>
      <c r="H40">
        <v>170.233</v>
      </c>
      <c r="J40" s="150" t="s">
        <v>447</v>
      </c>
      <c r="K40">
        <v>170.75700000000001</v>
      </c>
      <c r="M40" s="172" t="s">
        <v>450</v>
      </c>
      <c r="O40" s="30">
        <v>-52.4</v>
      </c>
      <c r="P40">
        <v>-13030</v>
      </c>
      <c r="Q40" s="162">
        <f>Q37+P40</f>
        <v>402045</v>
      </c>
      <c r="R40" s="96"/>
    </row>
    <row r="41" spans="1:18">
      <c r="A41">
        <v>27</v>
      </c>
      <c r="B41" s="2" t="s">
        <v>439</v>
      </c>
      <c r="C41" s="93" t="s">
        <v>442</v>
      </c>
      <c r="D41">
        <v>0.5</v>
      </c>
      <c r="G41" s="26" t="s">
        <v>444</v>
      </c>
      <c r="H41">
        <v>0.91759999999999997</v>
      </c>
      <c r="J41" s="150" t="s">
        <v>448</v>
      </c>
      <c r="K41">
        <v>0.91347</v>
      </c>
      <c r="M41" s="172" t="s">
        <v>450</v>
      </c>
      <c r="O41" s="30">
        <v>-41.3</v>
      </c>
      <c r="P41">
        <v>-17872</v>
      </c>
      <c r="Q41" s="162">
        <f t="shared" si="0"/>
        <v>384173</v>
      </c>
      <c r="R41" s="96"/>
    </row>
    <row r="42" spans="1:18">
      <c r="A42">
        <v>28</v>
      </c>
      <c r="B42" s="2" t="s">
        <v>439</v>
      </c>
      <c r="C42" s="93" t="s">
        <v>442</v>
      </c>
      <c r="D42">
        <v>0.1</v>
      </c>
      <c r="G42" s="26" t="s">
        <v>445</v>
      </c>
      <c r="H42">
        <v>0.91990000000000005</v>
      </c>
      <c r="J42" s="150" t="s">
        <v>445</v>
      </c>
      <c r="K42">
        <v>0.92286000000000001</v>
      </c>
      <c r="M42" s="172" t="s">
        <v>450</v>
      </c>
      <c r="O42" s="30">
        <v>-29.6</v>
      </c>
      <c r="P42">
        <v>-2457</v>
      </c>
      <c r="Q42" s="162">
        <f t="shared" si="0"/>
        <v>381716</v>
      </c>
      <c r="R42" s="96"/>
    </row>
    <row r="43" spans="1:18">
      <c r="A43">
        <v>29</v>
      </c>
      <c r="B43" s="2" t="s">
        <v>440</v>
      </c>
      <c r="C43" s="93" t="s">
        <v>442</v>
      </c>
      <c r="D43">
        <v>0.1</v>
      </c>
      <c r="G43" s="26" t="s">
        <v>446</v>
      </c>
      <c r="H43">
        <v>0.78091999999999995</v>
      </c>
      <c r="J43" s="150" t="s">
        <v>449</v>
      </c>
      <c r="K43">
        <v>0.77586999999999995</v>
      </c>
      <c r="M43" s="172" t="s">
        <v>451</v>
      </c>
      <c r="N43" s="29">
        <v>50.5</v>
      </c>
      <c r="O43" s="30"/>
      <c r="P43">
        <v>8266</v>
      </c>
      <c r="Q43" s="162">
        <f t="shared" si="0"/>
        <v>389982</v>
      </c>
      <c r="R43" s="96"/>
    </row>
    <row r="44" spans="1:18">
      <c r="J44" s="150"/>
      <c r="M44" s="172"/>
      <c r="O44" s="30"/>
      <c r="P44" s="99">
        <f>SUM(P40:P43)</f>
        <v>-25093</v>
      </c>
      <c r="Q44" s="162"/>
      <c r="R44" s="96"/>
    </row>
    <row r="45" spans="1:18">
      <c r="J45" s="150"/>
      <c r="M45" s="172"/>
      <c r="O45" s="30"/>
      <c r="Q45" s="162"/>
      <c r="R45" s="96"/>
    </row>
    <row r="46" spans="1:18">
      <c r="A46">
        <v>31</v>
      </c>
      <c r="B46" s="2" t="s">
        <v>458</v>
      </c>
      <c r="C46" s="93" t="s">
        <v>461</v>
      </c>
      <c r="D46">
        <v>0.1</v>
      </c>
      <c r="G46" s="26" t="s">
        <v>463</v>
      </c>
      <c r="H46">
        <v>127.717</v>
      </c>
      <c r="J46" s="150" t="s">
        <v>466</v>
      </c>
      <c r="K46">
        <v>127.301</v>
      </c>
      <c r="M46" s="172" t="s">
        <v>469</v>
      </c>
      <c r="N46" s="29">
        <v>41.6</v>
      </c>
      <c r="O46" s="30"/>
      <c r="P46">
        <v>4160</v>
      </c>
      <c r="Q46" s="162">
        <f>Q43+P46</f>
        <v>394142</v>
      </c>
      <c r="R46" s="96"/>
    </row>
    <row r="47" spans="1:18">
      <c r="A47">
        <v>32</v>
      </c>
      <c r="B47" s="2" t="s">
        <v>459</v>
      </c>
      <c r="C47" s="93" t="s">
        <v>462</v>
      </c>
      <c r="D47">
        <v>0.15</v>
      </c>
      <c r="G47" s="26" t="s">
        <v>464</v>
      </c>
      <c r="H47">
        <v>163.547</v>
      </c>
      <c r="J47" s="150" t="s">
        <v>467</v>
      </c>
      <c r="K47">
        <v>162.78700000000001</v>
      </c>
      <c r="M47" s="172" t="s">
        <v>470</v>
      </c>
      <c r="O47" s="30">
        <v>-76</v>
      </c>
      <c r="P47">
        <v>-11400</v>
      </c>
      <c r="Q47" s="162">
        <f t="shared" ref="Q47:Q57" si="1">Q46+P47</f>
        <v>382742</v>
      </c>
      <c r="R47" s="96"/>
    </row>
    <row r="48" spans="1:18">
      <c r="A48">
        <v>33</v>
      </c>
      <c r="B48" s="2" t="s">
        <v>459</v>
      </c>
      <c r="C48" s="93" t="s">
        <v>462</v>
      </c>
      <c r="D48">
        <v>0.1</v>
      </c>
      <c r="G48" s="26" t="s">
        <v>465</v>
      </c>
      <c r="H48">
        <v>163.607</v>
      </c>
      <c r="J48" s="150" t="s">
        <v>468</v>
      </c>
      <c r="K48">
        <v>162.83699999999999</v>
      </c>
      <c r="M48" s="172" t="s">
        <v>470</v>
      </c>
      <c r="O48" s="30">
        <v>-77</v>
      </c>
      <c r="P48">
        <v>-7700</v>
      </c>
      <c r="Q48" s="162">
        <f t="shared" si="1"/>
        <v>375042</v>
      </c>
      <c r="R48" s="96"/>
    </row>
    <row r="49" spans="1:18">
      <c r="A49">
        <v>34</v>
      </c>
      <c r="B49" s="2" t="s">
        <v>460</v>
      </c>
      <c r="C49" s="93" t="s">
        <v>461</v>
      </c>
      <c r="D49">
        <v>0.2</v>
      </c>
      <c r="G49" s="26" t="s">
        <v>474</v>
      </c>
      <c r="H49">
        <v>1.1019600000000001</v>
      </c>
      <c r="J49" s="150" t="s">
        <v>475</v>
      </c>
      <c r="K49">
        <v>1.1019600000000001</v>
      </c>
      <c r="M49" s="172" t="s">
        <v>339</v>
      </c>
      <c r="N49" s="29">
        <v>0</v>
      </c>
      <c r="O49" s="30"/>
      <c r="P49">
        <v>0</v>
      </c>
      <c r="Q49" s="162">
        <f t="shared" si="1"/>
        <v>375042</v>
      </c>
      <c r="R49" s="96"/>
    </row>
    <row r="50" spans="1:18">
      <c r="J50" s="150"/>
      <c r="M50" s="172"/>
      <c r="O50" s="30"/>
      <c r="P50" s="99">
        <f>SUM(P46:P49)</f>
        <v>-14940</v>
      </c>
      <c r="Q50" s="162"/>
      <c r="R50" s="96"/>
    </row>
    <row r="51" spans="1:18">
      <c r="J51" s="150"/>
      <c r="M51" s="172"/>
      <c r="O51" s="30"/>
      <c r="Q51" s="162"/>
      <c r="R51" s="96"/>
    </row>
    <row r="52" spans="1:18">
      <c r="A52">
        <v>35</v>
      </c>
      <c r="B52" s="2" t="s">
        <v>477</v>
      </c>
      <c r="C52" s="93" t="s">
        <v>480</v>
      </c>
      <c r="D52">
        <v>0.2</v>
      </c>
      <c r="G52" s="26" t="s">
        <v>481</v>
      </c>
      <c r="H52">
        <v>112.867</v>
      </c>
      <c r="J52" s="150" t="s">
        <v>487</v>
      </c>
      <c r="K52">
        <v>112.114</v>
      </c>
      <c r="M52" s="172" t="s">
        <v>492</v>
      </c>
      <c r="N52" s="29">
        <v>75.3</v>
      </c>
      <c r="O52" s="30"/>
      <c r="P52">
        <v>15060</v>
      </c>
      <c r="Q52" s="162">
        <f>Q49+P52</f>
        <v>390102</v>
      </c>
      <c r="R52" s="96"/>
    </row>
    <row r="53" spans="1:18">
      <c r="A53">
        <v>36</v>
      </c>
      <c r="B53" s="2" t="s">
        <v>477</v>
      </c>
      <c r="C53" s="93" t="s">
        <v>480</v>
      </c>
      <c r="D53">
        <v>0.2</v>
      </c>
      <c r="G53" s="26" t="s">
        <v>482</v>
      </c>
      <c r="H53">
        <v>112.733</v>
      </c>
      <c r="J53" s="150" t="s">
        <v>488</v>
      </c>
      <c r="K53">
        <v>112.467</v>
      </c>
      <c r="M53" s="172" t="s">
        <v>492</v>
      </c>
      <c r="N53" s="29">
        <v>26.6</v>
      </c>
      <c r="O53" s="30"/>
      <c r="P53">
        <v>5320</v>
      </c>
      <c r="Q53" s="162">
        <f t="shared" si="1"/>
        <v>395422</v>
      </c>
      <c r="R53" s="96"/>
    </row>
    <row r="54" spans="1:18">
      <c r="A54">
        <v>37</v>
      </c>
      <c r="B54" s="2" t="s">
        <v>478</v>
      </c>
      <c r="C54" s="93" t="s">
        <v>480</v>
      </c>
      <c r="D54">
        <v>0.2</v>
      </c>
      <c r="G54" s="26" t="s">
        <v>483</v>
      </c>
      <c r="H54">
        <v>0.99239999999999995</v>
      </c>
      <c r="J54" s="150" t="s">
        <v>489</v>
      </c>
      <c r="K54">
        <v>0.99056</v>
      </c>
      <c r="M54" s="172" t="s">
        <v>492</v>
      </c>
      <c r="N54" s="29">
        <v>18.399999999999999</v>
      </c>
      <c r="O54" s="30"/>
      <c r="P54">
        <v>4168</v>
      </c>
      <c r="Q54" s="162">
        <f t="shared" si="1"/>
        <v>399590</v>
      </c>
      <c r="R54" s="96"/>
    </row>
    <row r="55" spans="1:18">
      <c r="A55">
        <v>38</v>
      </c>
      <c r="B55" s="2" t="s">
        <v>478</v>
      </c>
      <c r="C55" s="93" t="s">
        <v>480</v>
      </c>
      <c r="D55">
        <v>0.2</v>
      </c>
      <c r="G55" s="26" t="s">
        <v>484</v>
      </c>
      <c r="H55">
        <v>0.98953999999999998</v>
      </c>
      <c r="J55" s="150" t="s">
        <v>489</v>
      </c>
      <c r="K55">
        <v>0.99056</v>
      </c>
      <c r="M55" s="172" t="s">
        <v>493</v>
      </c>
      <c r="O55" s="30">
        <v>-10.199999999999999</v>
      </c>
      <c r="P55">
        <v>-2311</v>
      </c>
      <c r="Q55" s="162">
        <f t="shared" si="1"/>
        <v>397279</v>
      </c>
      <c r="R55" s="96"/>
    </row>
    <row r="56" spans="1:18">
      <c r="A56">
        <v>39</v>
      </c>
      <c r="B56" s="2" t="s">
        <v>479</v>
      </c>
      <c r="C56" s="93" t="s">
        <v>480</v>
      </c>
      <c r="D56">
        <v>0.2</v>
      </c>
      <c r="G56" s="26" t="s">
        <v>485</v>
      </c>
      <c r="H56">
        <v>1.09094</v>
      </c>
      <c r="J56" s="150" t="s">
        <v>490</v>
      </c>
      <c r="K56">
        <v>1.09294</v>
      </c>
      <c r="M56" s="172" t="s">
        <v>493</v>
      </c>
      <c r="O56" s="30">
        <v>-20</v>
      </c>
      <c r="P56">
        <v>-4572</v>
      </c>
      <c r="Q56" s="162">
        <f t="shared" si="1"/>
        <v>392707</v>
      </c>
      <c r="R56" s="96"/>
    </row>
    <row r="57" spans="1:18">
      <c r="A57">
        <v>40</v>
      </c>
      <c r="B57" s="2" t="s">
        <v>477</v>
      </c>
      <c r="C57" s="93" t="s">
        <v>480</v>
      </c>
      <c r="D57">
        <v>0.2</v>
      </c>
      <c r="G57" s="26" t="s">
        <v>486</v>
      </c>
      <c r="H57">
        <v>112.749</v>
      </c>
      <c r="J57" s="150" t="s">
        <v>491</v>
      </c>
      <c r="K57">
        <v>113.003</v>
      </c>
      <c r="M57" s="172" t="s">
        <v>493</v>
      </c>
      <c r="O57" s="30">
        <v>-25.4</v>
      </c>
      <c r="P57">
        <v>-5080</v>
      </c>
      <c r="Q57" s="162">
        <f t="shared" si="1"/>
        <v>387627</v>
      </c>
      <c r="R57" s="96"/>
    </row>
    <row r="58" spans="1:18">
      <c r="J58" s="150"/>
      <c r="M58" s="172"/>
      <c r="O58" s="30"/>
      <c r="P58" s="99">
        <f>SUM(P52:P57)</f>
        <v>12585</v>
      </c>
      <c r="Q58" s="162"/>
      <c r="R58" s="96"/>
    </row>
    <row r="59" spans="1:18">
      <c r="J59" s="150"/>
      <c r="M59" s="172"/>
      <c r="O59" s="182" t="s">
        <v>503</v>
      </c>
      <c r="P59" s="157">
        <v>-56511</v>
      </c>
      <c r="Q59" s="162"/>
      <c r="R59" s="96"/>
    </row>
    <row r="60" spans="1:18">
      <c r="A60" s="99" t="s">
        <v>531</v>
      </c>
      <c r="J60" s="150"/>
      <c r="M60" s="172"/>
      <c r="O60" s="182"/>
      <c r="P60" s="157"/>
      <c r="Q60" s="162"/>
      <c r="R60" s="96"/>
    </row>
    <row r="61" spans="1:18">
      <c r="A61">
        <v>41</v>
      </c>
      <c r="B61" s="2" t="s">
        <v>509</v>
      </c>
      <c r="C61" s="93" t="s">
        <v>512</v>
      </c>
      <c r="D61">
        <v>0.1</v>
      </c>
      <c r="G61" s="26" t="s">
        <v>514</v>
      </c>
      <c r="H61">
        <v>0.73412999999999995</v>
      </c>
      <c r="J61" s="150" t="s">
        <v>517</v>
      </c>
      <c r="K61">
        <v>0.74253000000000002</v>
      </c>
      <c r="M61" s="172" t="s">
        <v>521</v>
      </c>
      <c r="O61" s="30">
        <v>-8.4</v>
      </c>
      <c r="P61" s="157">
        <v>-9553</v>
      </c>
      <c r="Q61" s="162">
        <f>Q57+P61</f>
        <v>378074</v>
      </c>
      <c r="R61" s="96"/>
    </row>
    <row r="62" spans="1:18">
      <c r="A62">
        <v>42</v>
      </c>
      <c r="B62" s="2" t="s">
        <v>510</v>
      </c>
      <c r="C62" s="93" t="s">
        <v>512</v>
      </c>
      <c r="D62">
        <v>0.2</v>
      </c>
      <c r="G62" s="26" t="s">
        <v>515</v>
      </c>
      <c r="H62">
        <v>1.0853200000000001</v>
      </c>
      <c r="J62" s="150" t="s">
        <v>520</v>
      </c>
      <c r="K62">
        <v>1.0853200000000001</v>
      </c>
      <c r="M62" s="172" t="s">
        <v>522</v>
      </c>
      <c r="N62" s="29">
        <v>0</v>
      </c>
      <c r="O62" s="30"/>
      <c r="P62" s="157">
        <v>0</v>
      </c>
      <c r="Q62" s="162">
        <f t="shared" ref="Q62:Q64" si="2">Q61+P62</f>
        <v>378074</v>
      </c>
      <c r="R62" s="96"/>
    </row>
    <row r="63" spans="1:18">
      <c r="A63">
        <v>43</v>
      </c>
      <c r="B63" s="2" t="s">
        <v>511</v>
      </c>
      <c r="C63" s="93" t="s">
        <v>512</v>
      </c>
      <c r="D63">
        <v>0.13</v>
      </c>
      <c r="G63" s="26" t="s">
        <v>516</v>
      </c>
      <c r="H63">
        <v>0.99421999999999999</v>
      </c>
      <c r="J63" s="150" t="s">
        <v>518</v>
      </c>
      <c r="K63">
        <v>0.99421999999999999</v>
      </c>
      <c r="M63" s="172" t="s">
        <v>522</v>
      </c>
      <c r="N63" s="29">
        <v>0</v>
      </c>
      <c r="O63" s="30"/>
      <c r="P63" s="157">
        <v>0</v>
      </c>
      <c r="Q63" s="162">
        <f t="shared" si="2"/>
        <v>378074</v>
      </c>
      <c r="R63" s="96"/>
    </row>
    <row r="64" spans="1:18">
      <c r="A64">
        <v>44</v>
      </c>
      <c r="B64" s="2" t="s">
        <v>511</v>
      </c>
      <c r="C64" s="93" t="s">
        <v>512</v>
      </c>
      <c r="D64">
        <v>0.15</v>
      </c>
      <c r="G64" s="26" t="s">
        <v>513</v>
      </c>
      <c r="H64">
        <v>0.99312</v>
      </c>
      <c r="J64" s="150" t="s">
        <v>519</v>
      </c>
      <c r="K64">
        <v>0.99312999999999996</v>
      </c>
      <c r="M64" s="172" t="s">
        <v>522</v>
      </c>
      <c r="O64" s="30">
        <v>-0.1</v>
      </c>
      <c r="P64" s="157">
        <v>-17</v>
      </c>
      <c r="Q64" s="162">
        <f t="shared" si="2"/>
        <v>378057</v>
      </c>
      <c r="R64" s="96"/>
    </row>
    <row r="65" spans="1:18">
      <c r="J65" s="150"/>
      <c r="M65" s="172"/>
      <c r="O65" s="30"/>
      <c r="P65" s="99">
        <f>SUM(P61:P64)</f>
        <v>-9570</v>
      </c>
      <c r="Q65" s="162"/>
      <c r="R65" s="96"/>
    </row>
    <row r="66" spans="1:18">
      <c r="J66" s="150"/>
      <c r="M66" s="172"/>
      <c r="O66" s="30"/>
      <c r="P66" s="99"/>
      <c r="Q66" s="162"/>
      <c r="R66" s="96"/>
    </row>
    <row r="67" spans="1:18">
      <c r="A67">
        <v>45</v>
      </c>
      <c r="B67" s="2" t="s">
        <v>532</v>
      </c>
      <c r="C67" s="93" t="s">
        <v>86</v>
      </c>
      <c r="D67">
        <v>0.35</v>
      </c>
      <c r="G67" s="26" t="s">
        <v>534</v>
      </c>
      <c r="H67">
        <v>0.77342999999999995</v>
      </c>
      <c r="J67" s="150" t="s">
        <v>538</v>
      </c>
      <c r="K67">
        <v>0.77344999999999997</v>
      </c>
      <c r="M67" s="172" t="s">
        <v>541</v>
      </c>
      <c r="O67" s="30">
        <v>-0.2</v>
      </c>
      <c r="P67" s="157">
        <v>-618</v>
      </c>
      <c r="Q67" s="162">
        <f>Q64+P67</f>
        <v>377439</v>
      </c>
      <c r="R67" s="96"/>
    </row>
    <row r="68" spans="1:18">
      <c r="A68">
        <v>46</v>
      </c>
      <c r="B68" s="2" t="s">
        <v>533</v>
      </c>
      <c r="C68" s="93" t="s">
        <v>86</v>
      </c>
      <c r="D68">
        <v>0.2</v>
      </c>
      <c r="G68" s="26" t="s">
        <v>535</v>
      </c>
      <c r="H68">
        <v>0.73868999999999996</v>
      </c>
      <c r="J68" s="150" t="s">
        <v>539</v>
      </c>
      <c r="K68">
        <v>0.74273</v>
      </c>
      <c r="M68" s="172" t="s">
        <v>542</v>
      </c>
      <c r="O68" s="30">
        <v>-40.4</v>
      </c>
      <c r="P68" s="157">
        <v>-9148</v>
      </c>
      <c r="Q68" s="162">
        <f t="shared" ref="Q68:Q70" si="3">Q67+P68</f>
        <v>368291</v>
      </c>
      <c r="R68" s="96"/>
    </row>
    <row r="69" spans="1:18">
      <c r="A69">
        <v>47</v>
      </c>
      <c r="B69" s="2" t="s">
        <v>532</v>
      </c>
      <c r="C69" s="93" t="s">
        <v>86</v>
      </c>
      <c r="D69">
        <v>0.1</v>
      </c>
      <c r="G69" s="26" t="s">
        <v>536</v>
      </c>
      <c r="H69">
        <v>0.77007000000000003</v>
      </c>
      <c r="J69" s="150" t="s">
        <v>540</v>
      </c>
      <c r="K69">
        <v>0.77270000000000005</v>
      </c>
      <c r="M69" s="172" t="s">
        <v>542</v>
      </c>
      <c r="O69" s="30">
        <v>-26.3</v>
      </c>
      <c r="P69" s="157">
        <v>-4214</v>
      </c>
      <c r="Q69" s="162">
        <f t="shared" si="3"/>
        <v>364077</v>
      </c>
      <c r="R69" s="96"/>
    </row>
    <row r="70" spans="1:18">
      <c r="A70">
        <v>48</v>
      </c>
      <c r="B70" s="2" t="s">
        <v>532</v>
      </c>
      <c r="C70" s="93" t="s">
        <v>86</v>
      </c>
      <c r="D70">
        <v>0.1</v>
      </c>
      <c r="G70" s="26" t="s">
        <v>537</v>
      </c>
      <c r="H70">
        <v>0.77110000000000001</v>
      </c>
      <c r="J70" s="150" t="s">
        <v>540</v>
      </c>
      <c r="K70">
        <v>0.77270000000000005</v>
      </c>
      <c r="M70" s="172" t="s">
        <v>542</v>
      </c>
      <c r="O70" s="30">
        <v>-1.6</v>
      </c>
      <c r="P70" s="157">
        <v>-2564</v>
      </c>
      <c r="Q70" s="162">
        <f t="shared" si="3"/>
        <v>361513</v>
      </c>
      <c r="R70" s="96"/>
    </row>
    <row r="71" spans="1:18">
      <c r="J71" s="150"/>
      <c r="M71" s="172"/>
      <c r="O71" s="30"/>
      <c r="Q71" s="162"/>
      <c r="R71" s="96"/>
    </row>
    <row r="72" spans="1:18">
      <c r="J72" s="150"/>
      <c r="M72" s="172"/>
      <c r="O72" s="30"/>
      <c r="Q72" s="162"/>
      <c r="R72" s="96"/>
    </row>
    <row r="73" spans="1:18">
      <c r="J73" s="150"/>
      <c r="M73" s="172"/>
      <c r="O73" s="30"/>
      <c r="Q73" s="162"/>
      <c r="R73" s="96"/>
    </row>
    <row r="74" spans="1:18">
      <c r="J74" s="150"/>
      <c r="M74" s="172"/>
      <c r="O74" s="30"/>
      <c r="Q74" s="162"/>
      <c r="R74" s="96"/>
    </row>
    <row r="75" spans="1:18">
      <c r="J75" s="150"/>
      <c r="M75" s="172"/>
      <c r="O75" s="30"/>
      <c r="Q75" s="162"/>
      <c r="R75" s="96"/>
    </row>
    <row r="76" spans="1:18">
      <c r="J76" s="150"/>
      <c r="M76" s="172"/>
      <c r="O76" s="30"/>
      <c r="Q76" s="162"/>
      <c r="R76" s="96"/>
    </row>
    <row r="77" spans="1:18">
      <c r="J77" s="150"/>
      <c r="M77" s="172"/>
      <c r="O77" s="30"/>
      <c r="Q77" s="162"/>
      <c r="R77" s="96"/>
    </row>
    <row r="78" spans="1:18">
      <c r="J78" s="150"/>
      <c r="M78" s="172"/>
      <c r="O78" s="30"/>
      <c r="Q78" s="162"/>
      <c r="R78" s="96"/>
    </row>
    <row r="79" spans="1:18">
      <c r="J79" s="150"/>
      <c r="M79" s="172"/>
      <c r="O79" s="30"/>
      <c r="Q79" s="162"/>
      <c r="R79" s="96"/>
    </row>
    <row r="80" spans="1:18">
      <c r="J80" s="150"/>
      <c r="M80" s="172"/>
      <c r="O80" s="30"/>
      <c r="Q80" s="162"/>
      <c r="R80" s="96"/>
    </row>
    <row r="81" spans="10:18">
      <c r="J81" s="150"/>
      <c r="M81" s="172"/>
      <c r="O81" s="30"/>
      <c r="Q81" s="162"/>
      <c r="R81" s="96"/>
    </row>
    <row r="82" spans="10:18">
      <c r="J82" s="150"/>
      <c r="M82" s="172"/>
      <c r="O82" s="30"/>
      <c r="Q82" s="162"/>
      <c r="R82" s="96"/>
    </row>
    <row r="83" spans="10:18">
      <c r="J83" s="150"/>
      <c r="M83" s="172"/>
      <c r="O83" s="30"/>
      <c r="Q83" s="162"/>
      <c r="R83" s="96"/>
    </row>
    <row r="84" spans="10:18">
      <c r="J84" s="150"/>
      <c r="M84" s="172"/>
      <c r="O84" s="30"/>
      <c r="Q84" s="162"/>
      <c r="R84" s="96"/>
    </row>
    <row r="85" spans="10:18">
      <c r="J85" s="150"/>
      <c r="M85" s="172"/>
      <c r="O85" s="30"/>
      <c r="Q85" s="162"/>
      <c r="R85" s="96"/>
    </row>
    <row r="86" spans="10:18">
      <c r="J86" s="150"/>
      <c r="M86" s="172"/>
      <c r="O86" s="30"/>
      <c r="Q86" s="162"/>
      <c r="R86" s="96"/>
    </row>
    <row r="87" spans="10:18">
      <c r="J87" s="150"/>
      <c r="M87" s="172"/>
      <c r="O87" s="30"/>
      <c r="Q87" s="162"/>
      <c r="R87" s="96"/>
    </row>
    <row r="88" spans="10:18">
      <c r="J88" s="150"/>
      <c r="M88" s="172"/>
      <c r="O88" s="30"/>
      <c r="Q88" s="162"/>
      <c r="R88" s="96"/>
    </row>
    <row r="89" spans="10:18">
      <c r="J89" s="150"/>
      <c r="M89" s="172"/>
      <c r="O89" s="30"/>
      <c r="Q89" s="162"/>
      <c r="R89" s="96"/>
    </row>
    <row r="90" spans="10:18">
      <c r="J90" s="150"/>
      <c r="M90" s="172"/>
      <c r="O90" s="30"/>
      <c r="Q90" s="162"/>
      <c r="R90" s="96"/>
    </row>
    <row r="91" spans="10:18">
      <c r="J91" s="150"/>
      <c r="M91" s="172"/>
      <c r="O91" s="30"/>
      <c r="Q91" s="162"/>
      <c r="R91" s="96"/>
    </row>
    <row r="92" spans="10:18">
      <c r="J92" s="150"/>
      <c r="M92" s="172"/>
      <c r="O92" s="30"/>
      <c r="Q92" s="162"/>
      <c r="R92" s="96"/>
    </row>
    <row r="93" spans="10:18">
      <c r="J93" s="150"/>
      <c r="M93" s="172"/>
      <c r="O93" s="30"/>
      <c r="Q93" s="162"/>
      <c r="R93" s="96"/>
    </row>
    <row r="94" spans="10:18">
      <c r="J94" s="150"/>
      <c r="M94" s="172"/>
      <c r="O94" s="30"/>
      <c r="Q94" s="162"/>
      <c r="R94" s="96"/>
    </row>
    <row r="95" spans="10:18">
      <c r="J95" s="150"/>
      <c r="M95" s="172"/>
      <c r="O95" s="30"/>
      <c r="Q95" s="162"/>
      <c r="R95" s="96"/>
    </row>
    <row r="96" spans="10:18">
      <c r="J96" s="150"/>
      <c r="M96" s="172"/>
      <c r="O96" s="30"/>
      <c r="Q96" s="162"/>
      <c r="R96" s="96"/>
    </row>
    <row r="97" spans="4:18">
      <c r="J97" s="150"/>
      <c r="M97" s="172"/>
      <c r="O97" s="30"/>
      <c r="Q97" s="162"/>
      <c r="R97" s="96"/>
    </row>
    <row r="98" spans="4:18">
      <c r="J98" s="150"/>
      <c r="M98" s="172"/>
      <c r="O98" s="30"/>
      <c r="Q98" s="162"/>
      <c r="R98" s="96"/>
    </row>
    <row r="99" spans="4:18">
      <c r="J99" s="150"/>
      <c r="M99" s="172"/>
      <c r="O99" s="30"/>
      <c r="Q99" s="162"/>
      <c r="R99" s="96"/>
    </row>
    <row r="100" spans="4:18">
      <c r="J100" s="150"/>
      <c r="M100" s="172"/>
      <c r="O100" s="30"/>
      <c r="Q100" s="162"/>
      <c r="R100" s="96"/>
    </row>
    <row r="101" spans="4:18">
      <c r="J101" s="150"/>
      <c r="M101" s="172"/>
      <c r="O101" s="30"/>
      <c r="Q101" s="162"/>
      <c r="R101" s="96"/>
    </row>
    <row r="102" spans="4:18">
      <c r="J102" s="150"/>
      <c r="M102" s="172"/>
      <c r="O102" s="30"/>
      <c r="Q102" s="162"/>
      <c r="R102" s="96"/>
    </row>
    <row r="103" spans="4:18">
      <c r="J103" s="150"/>
      <c r="M103" s="172"/>
      <c r="O103" s="30"/>
      <c r="Q103" s="162"/>
      <c r="R103" s="96"/>
    </row>
    <row r="104" spans="4:18">
      <c r="J104" s="150"/>
      <c r="M104" s="172"/>
      <c r="O104" s="30"/>
      <c r="Q104" s="162"/>
      <c r="R104" s="96"/>
    </row>
    <row r="105" spans="4:18">
      <c r="J105" s="150"/>
      <c r="O105" s="30"/>
      <c r="R105" s="96"/>
    </row>
    <row r="106" spans="4:18">
      <c r="N106" s="30"/>
      <c r="O106" s="30"/>
    </row>
    <row r="107" spans="4:18" ht="13.5" customHeight="1" thickBot="1"/>
    <row r="108" spans="4:18" ht="13.5" customHeight="1" thickBot="1">
      <c r="D108" s="202" t="s">
        <v>88</v>
      </c>
      <c r="E108" s="203"/>
      <c r="F108" s="204"/>
      <c r="G108" s="205"/>
      <c r="H108" s="33"/>
      <c r="I108" s="33"/>
      <c r="J108" s="34"/>
      <c r="L108" s="206" t="s">
        <v>89</v>
      </c>
      <c r="M108" s="207"/>
      <c r="N108" s="35" t="s">
        <v>90</v>
      </c>
      <c r="O108" s="36" t="s">
        <v>91</v>
      </c>
    </row>
    <row r="109" spans="4:18">
      <c r="D109" s="37" t="s">
        <v>92</v>
      </c>
      <c r="E109" s="38"/>
      <c r="F109" s="200"/>
      <c r="G109" s="201"/>
      <c r="H109" s="39"/>
      <c r="I109" s="39"/>
      <c r="J109" s="40"/>
      <c r="L109" s="41"/>
      <c r="M109" s="42"/>
      <c r="N109" s="43"/>
      <c r="O109" s="44"/>
      <c r="P109" s="31"/>
    </row>
    <row r="110" spans="4:18">
      <c r="D110" s="45" t="s">
        <v>93</v>
      </c>
      <c r="E110" s="46"/>
      <c r="F110" s="200"/>
      <c r="G110" s="201"/>
      <c r="H110" s="39"/>
      <c r="I110" s="39"/>
      <c r="J110" s="32"/>
      <c r="L110" s="47"/>
      <c r="M110" s="48"/>
      <c r="N110" s="49"/>
      <c r="O110" s="50"/>
    </row>
    <row r="111" spans="4:18">
      <c r="D111" s="45" t="s">
        <v>94</v>
      </c>
      <c r="E111" s="46"/>
      <c r="F111" s="200"/>
      <c r="G111" s="201"/>
      <c r="H111" s="39"/>
      <c r="I111" s="39"/>
      <c r="J111" s="40"/>
      <c r="L111" s="47"/>
      <c r="M111" s="48"/>
      <c r="N111" s="49"/>
      <c r="O111" s="51"/>
    </row>
    <row r="112" spans="4:18">
      <c r="D112" s="45" t="s">
        <v>95</v>
      </c>
      <c r="E112" s="46"/>
      <c r="F112" s="200"/>
      <c r="G112" s="201"/>
      <c r="H112" s="39"/>
      <c r="I112" s="39"/>
      <c r="J112" s="40"/>
      <c r="L112" s="47"/>
      <c r="M112" s="48"/>
      <c r="N112" s="49"/>
      <c r="O112" s="51"/>
    </row>
    <row r="113" spans="4:15">
      <c r="D113" s="45" t="s">
        <v>96</v>
      </c>
      <c r="E113" s="46"/>
      <c r="F113" s="200"/>
      <c r="G113" s="201"/>
      <c r="H113" s="39"/>
      <c r="I113" s="39"/>
      <c r="J113" s="40"/>
      <c r="L113" s="47"/>
      <c r="M113" s="48"/>
      <c r="N113" s="49"/>
      <c r="O113" s="51"/>
    </row>
    <row r="114" spans="4:15">
      <c r="D114" s="45" t="s">
        <v>97</v>
      </c>
      <c r="E114" s="52"/>
      <c r="F114" s="200"/>
      <c r="G114" s="201"/>
      <c r="H114" s="39"/>
      <c r="I114" s="39"/>
      <c r="J114" s="40"/>
      <c r="L114" s="47"/>
      <c r="M114" s="48"/>
      <c r="N114" s="49"/>
      <c r="O114" s="51"/>
    </row>
    <row r="115" spans="4:15">
      <c r="D115" s="45" t="s">
        <v>98</v>
      </c>
      <c r="E115" s="46"/>
      <c r="F115" s="200"/>
      <c r="G115" s="201"/>
      <c r="H115" s="39"/>
      <c r="I115" s="39"/>
      <c r="J115" s="40"/>
      <c r="L115" s="47"/>
      <c r="M115" s="48"/>
      <c r="N115" s="49"/>
      <c r="O115" s="51"/>
    </row>
    <row r="116" spans="4:15">
      <c r="D116" s="53" t="s">
        <v>99</v>
      </c>
      <c r="E116" s="54"/>
      <c r="F116" s="208"/>
      <c r="G116" s="209"/>
      <c r="H116" s="39"/>
      <c r="I116" s="39"/>
      <c r="J116" s="40"/>
      <c r="L116" s="47"/>
      <c r="M116" s="48"/>
      <c r="N116" s="49"/>
      <c r="O116" s="51"/>
    </row>
    <row r="117" spans="4:15">
      <c r="D117" s="45" t="s">
        <v>100</v>
      </c>
      <c r="E117" s="46"/>
      <c r="F117" s="200"/>
      <c r="G117" s="201"/>
      <c r="H117" s="39"/>
      <c r="I117" s="39"/>
      <c r="J117" s="40"/>
      <c r="L117" s="47"/>
      <c r="M117" s="48"/>
      <c r="N117" s="49"/>
      <c r="O117" s="51"/>
    </row>
    <row r="118" spans="4:15">
      <c r="D118" s="45" t="s">
        <v>101</v>
      </c>
      <c r="E118" s="52"/>
      <c r="F118" s="200"/>
      <c r="G118" s="201"/>
      <c r="H118" s="39"/>
      <c r="I118" s="39"/>
      <c r="J118" s="40"/>
      <c r="L118" s="47"/>
      <c r="M118" s="48"/>
      <c r="N118" s="49"/>
      <c r="O118" s="51"/>
    </row>
    <row r="119" spans="4:15">
      <c r="D119" s="45" t="s">
        <v>102</v>
      </c>
      <c r="E119" s="46"/>
      <c r="F119" s="200"/>
      <c r="G119" s="201"/>
      <c r="H119" s="39"/>
      <c r="I119" s="39"/>
      <c r="J119" s="40"/>
      <c r="L119" s="41"/>
      <c r="M119" s="42"/>
      <c r="N119" s="43"/>
      <c r="O119" s="55"/>
    </row>
    <row r="120" spans="4:15">
      <c r="D120" s="45" t="s">
        <v>103</v>
      </c>
      <c r="E120" s="56"/>
      <c r="F120" s="200"/>
      <c r="G120" s="201"/>
      <c r="H120" s="39"/>
      <c r="I120" s="39"/>
      <c r="J120" s="40"/>
      <c r="L120" s="47"/>
      <c r="M120" s="48"/>
      <c r="N120" s="49"/>
      <c r="O120" s="51"/>
    </row>
    <row r="121" spans="4:15">
      <c r="D121" s="45" t="s">
        <v>104</v>
      </c>
      <c r="E121" s="56"/>
      <c r="F121" s="200"/>
      <c r="G121" s="201"/>
      <c r="H121" s="39"/>
      <c r="I121" s="39"/>
      <c r="J121" s="40"/>
      <c r="L121" s="47"/>
      <c r="M121" s="48"/>
      <c r="N121" s="49"/>
      <c r="O121" s="51"/>
    </row>
    <row r="122" spans="4:15">
      <c r="D122" s="45" t="s">
        <v>105</v>
      </c>
      <c r="E122" s="46"/>
      <c r="F122" s="200"/>
      <c r="G122" s="201"/>
      <c r="H122" s="39"/>
      <c r="I122" s="39"/>
      <c r="J122" s="40"/>
      <c r="L122" s="47"/>
      <c r="M122" s="48"/>
      <c r="N122" s="49"/>
      <c r="O122" s="51"/>
    </row>
    <row r="123" spans="4:15">
      <c r="D123" s="45" t="s">
        <v>106</v>
      </c>
      <c r="E123" s="46"/>
      <c r="F123" s="200"/>
      <c r="G123" s="201"/>
      <c r="H123" s="39"/>
      <c r="I123" s="39"/>
      <c r="J123" s="40"/>
      <c r="L123" s="47"/>
      <c r="M123" s="48"/>
      <c r="N123" s="49"/>
      <c r="O123" s="51"/>
    </row>
    <row r="124" spans="4:15">
      <c r="D124" s="45" t="s">
        <v>107</v>
      </c>
      <c r="E124" s="57"/>
      <c r="F124" s="200"/>
      <c r="G124" s="201"/>
      <c r="H124" s="39"/>
      <c r="I124" s="39"/>
      <c r="J124" s="40"/>
      <c r="L124" s="47"/>
      <c r="M124" s="48"/>
      <c r="N124" s="49"/>
      <c r="O124" s="51"/>
    </row>
    <row r="125" spans="4:15" ht="14.25" thickBot="1">
      <c r="D125" s="58" t="s">
        <v>108</v>
      </c>
      <c r="E125" s="59"/>
      <c r="F125" s="210"/>
      <c r="G125" s="211"/>
      <c r="H125" s="39"/>
      <c r="I125" s="39"/>
      <c r="J125" s="40"/>
      <c r="L125" s="47"/>
      <c r="M125" s="48"/>
      <c r="N125" s="49"/>
      <c r="O125" s="51"/>
    </row>
    <row r="126" spans="4:15">
      <c r="G126" s="60"/>
      <c r="H126" s="39"/>
      <c r="I126" s="39"/>
      <c r="J126" s="40"/>
      <c r="L126" s="47"/>
      <c r="M126" s="48"/>
      <c r="N126" s="49"/>
      <c r="O126" s="51"/>
    </row>
    <row r="127" spans="4:15" ht="14.25" thickBot="1">
      <c r="G127" s="60"/>
      <c r="H127" s="39"/>
      <c r="I127" s="39"/>
      <c r="J127" s="40"/>
      <c r="L127" s="61"/>
      <c r="M127" s="62"/>
      <c r="N127" s="63"/>
      <c r="O127" s="64"/>
    </row>
    <row r="128" spans="4:15" ht="14.25" thickBot="1">
      <c r="G128" s="60"/>
      <c r="H128" s="39"/>
      <c r="I128" s="39"/>
      <c r="J128" s="40"/>
      <c r="L128" s="65" t="s">
        <v>87</v>
      </c>
      <c r="M128" s="66">
        <f>SUM(M109:M127)</f>
        <v>0</v>
      </c>
      <c r="N128" s="67">
        <f>SUM(N109:N127)</f>
        <v>0</v>
      </c>
      <c r="O128" s="68">
        <f>SUM(O109:O127)</f>
        <v>0</v>
      </c>
    </row>
    <row r="130" spans="7:11" ht="13.5" customHeight="1" thickBot="1"/>
    <row r="131" spans="7:11" ht="13.5" customHeight="1" thickBot="1">
      <c r="G131" s="206" t="s">
        <v>109</v>
      </c>
      <c r="H131" s="207"/>
      <c r="I131" s="69" t="s">
        <v>90</v>
      </c>
      <c r="J131" s="70" t="s">
        <v>91</v>
      </c>
      <c r="K131" s="71" t="s">
        <v>110</v>
      </c>
    </row>
    <row r="132" spans="7:11">
      <c r="G132" s="72" t="s">
        <v>111</v>
      </c>
      <c r="H132" s="42">
        <v>0</v>
      </c>
      <c r="I132" s="73">
        <v>0</v>
      </c>
      <c r="J132" s="74">
        <v>0</v>
      </c>
      <c r="K132" s="75">
        <v>0</v>
      </c>
    </row>
    <row r="133" spans="7:11">
      <c r="G133" s="76" t="s">
        <v>112</v>
      </c>
      <c r="H133" s="48">
        <v>0</v>
      </c>
      <c r="I133" s="48">
        <v>0</v>
      </c>
      <c r="J133" s="77">
        <v>0</v>
      </c>
      <c r="K133" s="78">
        <v>0</v>
      </c>
    </row>
    <row r="134" spans="7:11">
      <c r="G134" s="76" t="s">
        <v>113</v>
      </c>
      <c r="H134" s="48">
        <v>0</v>
      </c>
      <c r="I134" s="48">
        <v>0</v>
      </c>
      <c r="J134" s="77">
        <v>0</v>
      </c>
      <c r="K134" s="78">
        <v>0</v>
      </c>
    </row>
    <row r="135" spans="7:11">
      <c r="G135" s="76" t="s">
        <v>114</v>
      </c>
      <c r="H135" s="48">
        <v>0</v>
      </c>
      <c r="I135" s="48">
        <v>0</v>
      </c>
      <c r="J135" s="77">
        <v>0</v>
      </c>
      <c r="K135" s="78">
        <v>0</v>
      </c>
    </row>
    <row r="136" spans="7:11" ht="14.25" thickBot="1">
      <c r="G136" s="79" t="s">
        <v>115</v>
      </c>
      <c r="H136" s="80">
        <v>0</v>
      </c>
      <c r="I136" s="80">
        <v>0</v>
      </c>
      <c r="J136" s="81">
        <v>0</v>
      </c>
      <c r="K136" s="82">
        <v>0</v>
      </c>
    </row>
    <row r="137" spans="7:11" ht="14.25" thickBot="1">
      <c r="G137" s="83" t="s">
        <v>87</v>
      </c>
      <c r="H137" s="84"/>
      <c r="I137" s="84"/>
      <c r="J137" s="77"/>
      <c r="K137" s="85">
        <f>SUM(K132:K136)</f>
        <v>0</v>
      </c>
    </row>
  </sheetData>
  <autoFilter ref="A1:Q105"/>
  <mergeCells count="20">
    <mergeCell ref="F125:G125"/>
    <mergeCell ref="G131:H131"/>
    <mergeCell ref="F119:G119"/>
    <mergeCell ref="F120:G120"/>
    <mergeCell ref="F121:G121"/>
    <mergeCell ref="F122:G122"/>
    <mergeCell ref="F123:G123"/>
    <mergeCell ref="F124:G124"/>
    <mergeCell ref="F118:G118"/>
    <mergeCell ref="D108:G108"/>
    <mergeCell ref="L108:M108"/>
    <mergeCell ref="F109:G109"/>
    <mergeCell ref="F110:G110"/>
    <mergeCell ref="F111:G111"/>
    <mergeCell ref="F112:G112"/>
    <mergeCell ref="F113:G113"/>
    <mergeCell ref="F114:G114"/>
    <mergeCell ref="F115:G115"/>
    <mergeCell ref="F116:G116"/>
    <mergeCell ref="F117:G117"/>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3.xml><?xml version="1.0" encoding="utf-8"?>
<worksheet xmlns="http://schemas.openxmlformats.org/spreadsheetml/2006/main" xmlns:r="http://schemas.openxmlformats.org/officeDocument/2006/relationships">
  <sheetPr>
    <tabColor rgb="FFFFC000"/>
  </sheetPr>
  <dimension ref="A1"/>
  <sheetViews>
    <sheetView tabSelected="1" topLeftCell="A90" zoomScale="97" zoomScaleSheetLayoutView="100" workbookViewId="0">
      <selection activeCell="A120" sqref="A120"/>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FFC000"/>
  </sheetPr>
  <dimension ref="A1"/>
  <sheetViews>
    <sheetView zoomScale="97" zoomScaleSheetLayoutView="100" workbookViewId="0">
      <selection activeCell="A30" sqref="A30"/>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FFC000"/>
  </sheetPr>
  <dimension ref="A1:A64"/>
  <sheetViews>
    <sheetView topLeftCell="A52" zoomScale="115" zoomScaleSheetLayoutView="100" workbookViewId="0">
      <selection activeCell="A67" sqref="A67"/>
    </sheetView>
  </sheetViews>
  <sheetFormatPr defaultColWidth="8.875" defaultRowHeight="13.5"/>
  <cols>
    <col min="1" max="1" width="142.75" style="2" customWidth="1"/>
  </cols>
  <sheetData>
    <row r="1" spans="1:1">
      <c r="A1" s="12" t="s">
        <v>374</v>
      </c>
    </row>
    <row r="2" spans="1:1">
      <c r="A2" s="2" t="s">
        <v>335</v>
      </c>
    </row>
    <row r="3" spans="1:1">
      <c r="A3" s="2" t="s">
        <v>336</v>
      </c>
    </row>
    <row r="4" spans="1:1">
      <c r="A4" s="2" t="s">
        <v>337</v>
      </c>
    </row>
    <row r="5" spans="1:1">
      <c r="A5" s="2" t="s">
        <v>341</v>
      </c>
    </row>
    <row r="6" spans="1:1">
      <c r="A6" s="2" t="s">
        <v>346</v>
      </c>
    </row>
    <row r="8" spans="1:1">
      <c r="A8" s="2" t="s">
        <v>347</v>
      </c>
    </row>
    <row r="9" spans="1:1">
      <c r="A9" s="2" t="s">
        <v>348</v>
      </c>
    </row>
    <row r="10" spans="1:1">
      <c r="A10" s="2" t="s">
        <v>349</v>
      </c>
    </row>
    <row r="11" spans="1:1">
      <c r="A11" s="2" t="s">
        <v>350</v>
      </c>
    </row>
    <row r="12" spans="1:1">
      <c r="A12" s="2" t="s">
        <v>351</v>
      </c>
    </row>
    <row r="14" spans="1:1">
      <c r="A14" s="12" t="s">
        <v>357</v>
      </c>
    </row>
    <row r="15" spans="1:1">
      <c r="A15" s="12" t="s">
        <v>375</v>
      </c>
    </row>
    <row r="16" spans="1:1">
      <c r="A16" s="12" t="s">
        <v>376</v>
      </c>
    </row>
    <row r="17" spans="1:1" ht="27">
      <c r="A17" s="6" t="s">
        <v>358</v>
      </c>
    </row>
    <row r="18" spans="1:1">
      <c r="A18" s="2" t="s">
        <v>377</v>
      </c>
    </row>
    <row r="19" spans="1:1">
      <c r="A19" s="2" t="s">
        <v>378</v>
      </c>
    </row>
    <row r="20" spans="1:1">
      <c r="A20" s="2" t="s">
        <v>373</v>
      </c>
    </row>
    <row r="22" spans="1:1">
      <c r="A22" s="12" t="s">
        <v>388</v>
      </c>
    </row>
    <row r="23" spans="1:1">
      <c r="A23" s="2" t="s">
        <v>389</v>
      </c>
    </row>
    <row r="24" spans="1:1">
      <c r="A24" s="2" t="s">
        <v>390</v>
      </c>
    </row>
    <row r="26" spans="1:1">
      <c r="A26" s="12" t="s">
        <v>404</v>
      </c>
    </row>
    <row r="27" spans="1:1">
      <c r="A27" s="2" t="s">
        <v>409</v>
      </c>
    </row>
    <row r="28" spans="1:1" ht="27">
      <c r="A28" s="6" t="s">
        <v>410</v>
      </c>
    </row>
    <row r="29" spans="1:1">
      <c r="A29" s="2" t="s">
        <v>405</v>
      </c>
    </row>
    <row r="31" spans="1:1">
      <c r="A31" s="12" t="s">
        <v>435</v>
      </c>
    </row>
    <row r="32" spans="1:1">
      <c r="A32" s="2" t="s">
        <v>436</v>
      </c>
    </row>
    <row r="33" spans="1:1">
      <c r="A33" s="2" t="s">
        <v>456</v>
      </c>
    </row>
    <row r="34" spans="1:1">
      <c r="A34" s="2" t="s">
        <v>455</v>
      </c>
    </row>
    <row r="36" spans="1:1">
      <c r="A36" s="12" t="s">
        <v>452</v>
      </c>
    </row>
    <row r="37" spans="1:1">
      <c r="A37" s="2" t="s">
        <v>453</v>
      </c>
    </row>
    <row r="38" spans="1:1" ht="57.75" customHeight="1">
      <c r="A38" s="6" t="s">
        <v>454</v>
      </c>
    </row>
    <row r="39" spans="1:1">
      <c r="A39" s="12" t="s">
        <v>457</v>
      </c>
    </row>
    <row r="41" spans="1:1">
      <c r="A41" s="12" t="s">
        <v>471</v>
      </c>
    </row>
    <row r="42" spans="1:1">
      <c r="A42" s="2" t="s">
        <v>472</v>
      </c>
    </row>
    <row r="43" spans="1:1">
      <c r="A43" s="2" t="s">
        <v>473</v>
      </c>
    </row>
    <row r="45" spans="1:1">
      <c r="A45" s="12" t="s">
        <v>476</v>
      </c>
    </row>
    <row r="46" spans="1:1" ht="76.5" customHeight="1">
      <c r="A46" s="6" t="s">
        <v>494</v>
      </c>
    </row>
    <row r="47" spans="1:1" ht="33" customHeight="1">
      <c r="A47" s="6" t="s">
        <v>495</v>
      </c>
    </row>
    <row r="48" spans="1:1" ht="45" customHeight="1">
      <c r="A48" s="6" t="s">
        <v>506</v>
      </c>
    </row>
    <row r="49" spans="1:1">
      <c r="A49" s="12" t="s">
        <v>507</v>
      </c>
    </row>
    <row r="50" spans="1:1">
      <c r="A50" s="12" t="s">
        <v>508</v>
      </c>
    </row>
    <row r="52" spans="1:1">
      <c r="A52" s="12" t="s">
        <v>523</v>
      </c>
    </row>
    <row r="53" spans="1:1" ht="29.25" customHeight="1">
      <c r="A53" s="6" t="s">
        <v>529</v>
      </c>
    </row>
    <row r="54" spans="1:1" ht="17.25" customHeight="1">
      <c r="A54" s="2" t="s">
        <v>524</v>
      </c>
    </row>
    <row r="55" spans="1:1" ht="5.25" customHeight="1"/>
    <row r="56" spans="1:1" ht="33.75" customHeight="1">
      <c r="A56" s="6" t="s">
        <v>525</v>
      </c>
    </row>
    <row r="57" spans="1:1" ht="30" customHeight="1">
      <c r="A57" s="6" t="s">
        <v>526</v>
      </c>
    </row>
    <row r="58" spans="1:1">
      <c r="A58" s="2" t="s">
        <v>527</v>
      </c>
    </row>
    <row r="59" spans="1:1">
      <c r="A59" s="2" t="s">
        <v>528</v>
      </c>
    </row>
    <row r="61" spans="1:1">
      <c r="A61" s="12" t="s">
        <v>543</v>
      </c>
    </row>
    <row r="62" spans="1:1" ht="18" customHeight="1">
      <c r="A62" s="2" t="s">
        <v>544</v>
      </c>
    </row>
    <row r="63" spans="1:1" ht="34.5" customHeight="1">
      <c r="A63" s="6" t="s">
        <v>545</v>
      </c>
    </row>
    <row r="64" spans="1:1" ht="30" customHeight="1">
      <c r="A64" s="6" t="s">
        <v>546</v>
      </c>
    </row>
  </sheetData>
  <phoneticPr fontId="2"/>
  <pageMargins left="0.75" right="0.75" top="1" bottom="1" header="0.51111111111111107" footer="0.51111111111111107"/>
  <pageSetup paperSize="9" firstPageNumber="4294963191" orientation="portrait" r:id="rId1"/>
  <headerFooter alignWithMargins="0"/>
</worksheet>
</file>

<file path=xl/worksheets/sheet6.xml><?xml version="1.0" encoding="utf-8"?>
<worksheet xmlns="http://schemas.openxmlformats.org/spreadsheetml/2006/main" xmlns:r="http://schemas.openxmlformats.org/officeDocument/2006/relationships">
  <sheetPr codeName="Sheet5">
    <tabColor rgb="FF00FF00"/>
  </sheetPr>
  <dimension ref="A1:D17"/>
  <sheetViews>
    <sheetView workbookViewId="0">
      <selection activeCell="A10" sqref="A10"/>
    </sheetView>
  </sheetViews>
  <sheetFormatPr defaultRowHeight="13.5"/>
  <cols>
    <col min="1" max="4" width="35.625" style="101" customWidth="1"/>
  </cols>
  <sheetData>
    <row r="1" spans="1:4" ht="83.25" customHeight="1">
      <c r="A1" s="212" t="s">
        <v>141</v>
      </c>
      <c r="B1" s="213"/>
      <c r="C1" s="213"/>
      <c r="D1" s="213"/>
    </row>
    <row r="2" spans="1:4" s="99" customFormat="1" ht="21.75" customHeight="1" thickBot="1">
      <c r="A2" s="103" t="s">
        <v>134</v>
      </c>
      <c r="B2" s="103" t="s">
        <v>135</v>
      </c>
      <c r="C2" s="103" t="s">
        <v>136</v>
      </c>
      <c r="D2" s="103" t="s">
        <v>137</v>
      </c>
    </row>
    <row r="3" spans="1:4" s="99" customFormat="1" ht="27.75" thickTop="1">
      <c r="A3" s="158" t="s">
        <v>291</v>
      </c>
      <c r="B3" s="102" t="s">
        <v>129</v>
      </c>
      <c r="C3" s="161" t="s">
        <v>292</v>
      </c>
      <c r="D3" s="102" t="s">
        <v>130</v>
      </c>
    </row>
    <row r="4" spans="1:4" s="99" customFormat="1" ht="40.5">
      <c r="A4" s="98" t="s">
        <v>138</v>
      </c>
      <c r="B4" s="108" t="s">
        <v>265</v>
      </c>
      <c r="C4" s="104" t="s">
        <v>140</v>
      </c>
      <c r="D4" s="151" t="s">
        <v>227</v>
      </c>
    </row>
    <row r="5" spans="1:4" s="99" customFormat="1" ht="40.5">
      <c r="A5" s="105" t="s">
        <v>148</v>
      </c>
      <c r="B5" s="98" t="s">
        <v>139</v>
      </c>
      <c r="C5" s="154" t="s">
        <v>289</v>
      </c>
      <c r="D5" s="154" t="s">
        <v>282</v>
      </c>
    </row>
    <row r="6" spans="1:4" s="99" customFormat="1" ht="33" customHeight="1">
      <c r="A6" s="98" t="s">
        <v>142</v>
      </c>
      <c r="B6" s="154" t="s">
        <v>504</v>
      </c>
      <c r="C6" s="176" t="s">
        <v>411</v>
      </c>
      <c r="D6" s="176" t="s">
        <v>283</v>
      </c>
    </row>
    <row r="7" spans="1:4" s="99" customFormat="1" ht="40.5">
      <c r="A7" s="154" t="s">
        <v>149</v>
      </c>
      <c r="B7" s="177" t="s">
        <v>505</v>
      </c>
      <c r="C7" s="98"/>
      <c r="D7" s="176" t="s">
        <v>310</v>
      </c>
    </row>
    <row r="8" spans="1:4" s="99" customFormat="1" ht="37.5" customHeight="1">
      <c r="A8" s="176" t="s">
        <v>153</v>
      </c>
      <c r="B8" s="175" t="s">
        <v>437</v>
      </c>
      <c r="C8" s="106"/>
      <c r="D8" s="176" t="s">
        <v>314</v>
      </c>
    </row>
    <row r="9" spans="1:4" s="99" customFormat="1" ht="37.5" customHeight="1">
      <c r="A9" s="108"/>
      <c r="B9" s="108" t="s">
        <v>530</v>
      </c>
      <c r="C9" s="174"/>
      <c r="D9" s="108" t="s">
        <v>496</v>
      </c>
    </row>
    <row r="10" spans="1:4" s="99" customFormat="1" ht="37.5" customHeight="1">
      <c r="A10" s="154"/>
      <c r="B10" s="154" t="s">
        <v>240</v>
      </c>
      <c r="C10" s="153"/>
      <c r="D10" s="153"/>
    </row>
    <row r="11" spans="1:4" s="99" customFormat="1">
      <c r="A11" s="100"/>
      <c r="B11" s="100"/>
      <c r="C11" s="100"/>
      <c r="D11" s="100"/>
    </row>
    <row r="12" spans="1:4" s="99" customFormat="1">
      <c r="A12" s="100"/>
      <c r="B12" s="100"/>
      <c r="C12" s="100"/>
      <c r="D12" s="100"/>
    </row>
    <row r="13" spans="1:4" s="99" customFormat="1">
      <c r="A13" s="100"/>
      <c r="B13" s="100"/>
      <c r="C13" s="100"/>
      <c r="D13" s="100"/>
    </row>
    <row r="14" spans="1:4" s="99" customFormat="1">
      <c r="A14" s="100"/>
      <c r="B14" s="100"/>
      <c r="C14" s="100"/>
      <c r="D14" s="100"/>
    </row>
    <row r="15" spans="1:4" s="99" customFormat="1">
      <c r="A15" s="100"/>
      <c r="B15" s="100"/>
      <c r="C15" s="100"/>
      <c r="D15" s="100"/>
    </row>
    <row r="16" spans="1:4" s="99" customFormat="1">
      <c r="A16" s="100"/>
      <c r="B16" s="100"/>
      <c r="C16" s="100"/>
      <c r="D16" s="100"/>
    </row>
    <row r="17" spans="1:4" s="99" customFormat="1">
      <c r="A17" s="100"/>
      <c r="B17" s="100"/>
      <c r="C17" s="100"/>
      <c r="D17" s="100"/>
    </row>
  </sheetData>
  <mergeCells count="1">
    <mergeCell ref="A1:D1"/>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tabColor theme="0"/>
  </sheetPr>
  <dimension ref="A1:AD67"/>
  <sheetViews>
    <sheetView zoomScale="90" zoomScaleNormal="90" workbookViewId="0">
      <selection activeCell="A2" sqref="A2:B2"/>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149" customWidth="1"/>
    <col min="29" max="29" width="3.375" customWidth="1"/>
    <col min="30" max="30" width="10.875" customWidth="1"/>
  </cols>
  <sheetData>
    <row r="1" spans="1:30" ht="17.25">
      <c r="A1" s="143" t="s">
        <v>222</v>
      </c>
    </row>
    <row r="2" spans="1:30">
      <c r="A2" s="219" t="s">
        <v>219</v>
      </c>
      <c r="B2" s="219"/>
      <c r="C2" s="220">
        <v>500000</v>
      </c>
      <c r="D2" s="220"/>
    </row>
    <row r="3" spans="1:30">
      <c r="A3" s="219" t="s">
        <v>220</v>
      </c>
      <c r="B3" s="219"/>
      <c r="C3" s="221">
        <f>SUM(C2,E37)</f>
        <v>359024</v>
      </c>
      <c r="D3" s="221"/>
    </row>
    <row r="4" spans="1:30">
      <c r="A4" s="219" t="s">
        <v>221</v>
      </c>
      <c r="B4" s="219"/>
      <c r="C4" s="222" t="e">
        <f>DATEVALUE(LEFT(デモトレ履歴!#REF!,4)&amp;"/"&amp;MID(デモトレ履歴!#REF!,6,2)&amp;"/"&amp;MID(デモトレ履歴!#REF!,9,2))</f>
        <v>#REF!</v>
      </c>
      <c r="D4" s="222"/>
    </row>
    <row r="6" spans="1:30" ht="17.25">
      <c r="A6" s="110" t="s">
        <v>158</v>
      </c>
      <c r="B6" s="111"/>
      <c r="C6" s="111"/>
      <c r="D6" s="111"/>
      <c r="E6" s="111"/>
      <c r="F6" s="111"/>
      <c r="G6" s="111"/>
      <c r="H6" s="111"/>
      <c r="I6" s="111"/>
      <c r="J6" s="111"/>
      <c r="K6" s="111"/>
      <c r="L6" s="111"/>
      <c r="M6" s="111"/>
      <c r="N6" s="111"/>
      <c r="AD6" s="111"/>
    </row>
    <row r="7" spans="1:30">
      <c r="A7" s="111"/>
      <c r="B7" s="111"/>
      <c r="C7" s="111"/>
      <c r="D7" s="111"/>
      <c r="E7" s="111"/>
      <c r="F7" s="111"/>
      <c r="G7" s="111"/>
      <c r="H7" s="111"/>
      <c r="I7" s="111"/>
      <c r="J7" s="111"/>
      <c r="K7" s="111"/>
      <c r="L7" s="111"/>
      <c r="M7" s="111"/>
      <c r="N7" s="111"/>
      <c r="AD7" s="111"/>
    </row>
    <row r="8" spans="1:30" ht="36">
      <c r="A8" s="112" t="s">
        <v>159</v>
      </c>
      <c r="B8" s="113" t="s">
        <v>160</v>
      </c>
      <c r="C8" s="113" t="s">
        <v>161</v>
      </c>
      <c r="D8" s="114" t="s">
        <v>188</v>
      </c>
      <c r="E8" s="113" t="s">
        <v>162</v>
      </c>
      <c r="F8" s="114" t="s">
        <v>206</v>
      </c>
      <c r="G8" s="113" t="s">
        <v>163</v>
      </c>
      <c r="H8" s="113" t="s">
        <v>164</v>
      </c>
      <c r="I8" s="113" t="s">
        <v>165</v>
      </c>
      <c r="J8" s="113" t="s">
        <v>166</v>
      </c>
      <c r="K8" s="113" t="s">
        <v>167</v>
      </c>
      <c r="L8" s="113" t="s">
        <v>168</v>
      </c>
      <c r="M8" s="114" t="s">
        <v>169</v>
      </c>
      <c r="N8" s="115" t="s">
        <v>170</v>
      </c>
      <c r="AD8" s="113" t="s">
        <v>207</v>
      </c>
    </row>
    <row r="9" spans="1:30">
      <c r="A9" s="116" t="s">
        <v>177</v>
      </c>
      <c r="B9" s="117">
        <f>SUMIFS(デモトレ履歴!$P$4:$P$105,デモトレ履歴!$M$4:$M$105,"win",デモトレ履歴!$B$4:$B$105,成績表!$A9&amp;"*")</f>
        <v>20380</v>
      </c>
      <c r="C9" s="117">
        <f>SUMIFS(デモトレ履歴!$P$4:$P$105,デモトレ履歴!$M$4:$M$105,"loss",デモトレ履歴!$B$4:$B$105,成績表!$A9&amp;"*")</f>
        <v>-14320</v>
      </c>
      <c r="D9" s="117">
        <f>SUMIFS(デモトレ履歴!$P$4:$P$105,デモトレ履歴!$M$4:$M$105,"drw",デモトレ履歴!$B$4:$B$105,成績表!$A9&amp;"*")</f>
        <v>0</v>
      </c>
      <c r="E9" s="117">
        <f t="shared" ref="E9:E36" si="0">SUM(B9:D9)</f>
        <v>6060</v>
      </c>
      <c r="F9" s="118">
        <f>COUNTIF(デモトレ履歴!$B$4:$B$105,成績表!$A9&amp;"*")</f>
        <v>4</v>
      </c>
      <c r="G9" s="118">
        <f>COUNTIFS(デモトレ履歴!$M$4:$M$105,"win",デモトレ履歴!$B$4:$B$105,成績表!$A9&amp;"*")</f>
        <v>2</v>
      </c>
      <c r="H9" s="118">
        <f>COUNTIFS(デモトレ履歴!$M$4:$M$105,"loss",デモトレ履歴!$B$4:$B$105,成績表!$A9&amp;"*")</f>
        <v>2</v>
      </c>
      <c r="I9" s="119">
        <f>COUNTIFS(デモトレ履歴!$M$4:$M$105,"drw",デモトレ履歴!$B$4:$B$105,成績表!$A9&amp;"*")</f>
        <v>0</v>
      </c>
      <c r="J9" s="120">
        <f>IF(G9&gt;0,G9/F9,0)</f>
        <v>0.5</v>
      </c>
      <c r="K9" s="121">
        <f t="shared" ref="K9:K36" si="1">IF(B9&lt;&gt;0,B9/G9,0)</f>
        <v>10190</v>
      </c>
      <c r="L9" s="121">
        <f t="shared" ref="L9:L36" si="2">IF(C9&lt;&gt;0,C9/H9*-1,0)</f>
        <v>7160</v>
      </c>
      <c r="M9" s="136">
        <f>IF(AND(K9&lt;&gt;0,L9&lt;&gt;0),K9/L9,0)</f>
        <v>1.4231843575418994</v>
      </c>
      <c r="N9" s="137">
        <f t="shared" ref="N9:N36" si="3">IF(AND(B9&lt;&gt;0,C9&lt;&gt;0),B9/C9,0)</f>
        <v>-1.4231843575418994</v>
      </c>
      <c r="AD9" s="117">
        <f t="shared" ref="AD9:AD36" si="4">ABS(C9)</f>
        <v>14320</v>
      </c>
    </row>
    <row r="10" spans="1:30">
      <c r="A10" s="122" t="s">
        <v>178</v>
      </c>
      <c r="B10" s="123">
        <f>SUMIFS(デモトレ履歴!$P$4:$P$105,デモトレ履歴!$M$4:$M$105,"win",デモトレ履歴!$B$4:$B$105,成績表!$A10&amp;"*")</f>
        <v>18155</v>
      </c>
      <c r="C10" s="123">
        <f>SUMIFS(デモトレ履歴!$P$4:$P$105,デモトレ履歴!$M$4:$M$105,"loss",デモトレ履歴!$B$4:$B$105,成績表!$A10&amp;"*")</f>
        <v>0</v>
      </c>
      <c r="D10" s="123">
        <f>SUMIFS(デモトレ履歴!$P$4:$P$105,デモトレ履歴!$M$4:$M$105,"drw",デモトレ履歴!$B$4:$B$105,成績表!$A10&amp;"*")</f>
        <v>-35</v>
      </c>
      <c r="E10" s="123">
        <f t="shared" si="0"/>
        <v>18120</v>
      </c>
      <c r="F10" s="124">
        <f>COUNTIF(デモトレ履歴!$B$4:$B$105,成績表!$A10&amp;"*")</f>
        <v>2</v>
      </c>
      <c r="G10" s="124">
        <f>COUNTIFS(デモトレ履歴!$M$4:$M$105,"win",デモトレ履歴!$B$4:$B$105,成績表!$A10&amp;"*")</f>
        <v>1</v>
      </c>
      <c r="H10" s="124">
        <f>COUNTIFS(デモトレ履歴!$M$4:$M$105,"loss",デモトレ履歴!$B$4:$B$105,成績表!$A10&amp;"*")</f>
        <v>0</v>
      </c>
      <c r="I10" s="124">
        <f>COUNTIFS(デモトレ履歴!$M$4:$M$105,"drw",デモトレ履歴!$B$4:$B$105,成績表!$A10&amp;"*")</f>
        <v>1</v>
      </c>
      <c r="J10" s="125">
        <f t="shared" ref="J10:J36" si="5">IF(G10&gt;0,G10/F10,0)</f>
        <v>0.5</v>
      </c>
      <c r="K10" s="123">
        <f t="shared" si="1"/>
        <v>18155</v>
      </c>
      <c r="L10" s="123">
        <f t="shared" si="2"/>
        <v>0</v>
      </c>
      <c r="M10" s="138">
        <f t="shared" ref="M10:M35" si="6">IF(AND(K10&lt;&gt;0,L10&lt;&gt;0),K10/L10,0)</f>
        <v>0</v>
      </c>
      <c r="N10" s="139">
        <f t="shared" si="3"/>
        <v>0</v>
      </c>
      <c r="AD10" s="123">
        <f t="shared" si="4"/>
        <v>0</v>
      </c>
    </row>
    <row r="11" spans="1:30">
      <c r="A11" s="122" t="s">
        <v>179</v>
      </c>
      <c r="B11" s="123">
        <f>SUMIFS(デモトレ履歴!$P$4:$P$105,デモトレ履歴!$M$4:$M$105,"win",デモトレ履歴!$B$4:$B$105,成績表!$A11&amp;"*")</f>
        <v>0</v>
      </c>
      <c r="C11" s="123">
        <f>SUMIFS(デモトレ履歴!$P$4:$P$105,デモトレ履歴!$M$4:$M$105,"loss",デモトレ履歴!$B$4:$B$105,成績表!$A11&amp;"*")</f>
        <v>0</v>
      </c>
      <c r="D11" s="123">
        <f>SUMIFS(デモトレ履歴!$P$4:$P$105,デモトレ履歴!$M$4:$M$105,"drw",デモトレ履歴!$B$4:$B$105,成績表!$A11&amp;"*")</f>
        <v>0</v>
      </c>
      <c r="E11" s="123">
        <f t="shared" si="0"/>
        <v>0</v>
      </c>
      <c r="F11" s="124">
        <f>COUNTIF(デモトレ履歴!$B$4:$B$105,成績表!$A11&amp;"*")</f>
        <v>0</v>
      </c>
      <c r="G11" s="124">
        <f>COUNTIFS(デモトレ履歴!$M$4:$M$105,"win",デモトレ履歴!$B$4:$B$105,成績表!$A11&amp;"*")</f>
        <v>0</v>
      </c>
      <c r="H11" s="124">
        <f>COUNTIFS(デモトレ履歴!$M$4:$M$105,"loss",デモトレ履歴!$B$4:$B$105,成績表!$A11&amp;"*")</f>
        <v>0</v>
      </c>
      <c r="I11" s="124">
        <f>COUNTIFS(デモトレ履歴!$M$4:$M$105,"drw",デモトレ履歴!$B$4:$B$105,成績表!$A11&amp;"*")</f>
        <v>0</v>
      </c>
      <c r="J11" s="125">
        <f t="shared" si="5"/>
        <v>0</v>
      </c>
      <c r="K11" s="123">
        <f t="shared" si="1"/>
        <v>0</v>
      </c>
      <c r="L11" s="123">
        <f t="shared" si="2"/>
        <v>0</v>
      </c>
      <c r="M11" s="138">
        <f t="shared" si="6"/>
        <v>0</v>
      </c>
      <c r="N11" s="139">
        <f t="shared" si="3"/>
        <v>0</v>
      </c>
      <c r="AD11" s="123">
        <f t="shared" si="4"/>
        <v>0</v>
      </c>
    </row>
    <row r="12" spans="1:30">
      <c r="A12" s="122" t="s">
        <v>180</v>
      </c>
      <c r="B12" s="123">
        <f>SUMIFS(デモトレ履歴!$P$4:$P$105,デモトレ履歴!$M$4:$M$105,"win",デモトレ履歴!$B$4:$B$105,成績表!$A12&amp;"*")</f>
        <v>0</v>
      </c>
      <c r="C12" s="123">
        <f>SUMIFS(デモトレ履歴!$P$4:$P$105,デモトレ履歴!$M$4:$M$105,"loss",デモトレ履歴!$B$4:$B$105,成績表!$A12&amp;"*")</f>
        <v>-22190</v>
      </c>
      <c r="D12" s="123">
        <f>SUMIFS(デモトレ履歴!$P$4:$P$105,デモトレ履歴!$M$4:$M$105,"drw",デモトレ履歴!$B$4:$B$105,成績表!$A12&amp;"*")</f>
        <v>0</v>
      </c>
      <c r="E12" s="123">
        <f t="shared" si="0"/>
        <v>-22190</v>
      </c>
      <c r="F12" s="124">
        <f>COUNTIF(デモトレ履歴!$B$4:$B$105,成績表!$A12&amp;"*")</f>
        <v>3</v>
      </c>
      <c r="G12" s="124">
        <f>COUNTIFS(デモトレ履歴!$M$4:$M$105,"win",デモトレ履歴!$B$4:$B$105,成績表!$A12&amp;"*")</f>
        <v>0</v>
      </c>
      <c r="H12" s="124">
        <f>COUNTIFS(デモトレ履歴!$M$4:$M$105,"loss",デモトレ履歴!$B$4:$B$105,成績表!$A12&amp;"*")</f>
        <v>3</v>
      </c>
      <c r="I12" s="124">
        <f>COUNTIFS(デモトレ履歴!$M$4:$M$105,"drw",デモトレ履歴!$B$4:$B$105,成績表!$A12&amp;"*")</f>
        <v>0</v>
      </c>
      <c r="J12" s="125">
        <f t="shared" si="5"/>
        <v>0</v>
      </c>
      <c r="K12" s="123">
        <f t="shared" si="1"/>
        <v>0</v>
      </c>
      <c r="L12" s="123">
        <f t="shared" si="2"/>
        <v>7396.666666666667</v>
      </c>
      <c r="M12" s="138">
        <f t="shared" si="6"/>
        <v>0</v>
      </c>
      <c r="N12" s="139">
        <f t="shared" si="3"/>
        <v>0</v>
      </c>
      <c r="AD12" s="123">
        <f t="shared" si="4"/>
        <v>22190</v>
      </c>
    </row>
    <row r="13" spans="1:30">
      <c r="A13" s="122" t="s">
        <v>181</v>
      </c>
      <c r="B13" s="123">
        <f>SUMIFS(デモトレ履歴!$P$4:$P$105,デモトレ履歴!$M$4:$M$105,"win",デモトレ履歴!$B$4:$B$105,成績表!$A13&amp;"*")</f>
        <v>0</v>
      </c>
      <c r="C13" s="123">
        <f>SUMIFS(デモトレ履歴!$P$4:$P$105,デモトレ履歴!$M$4:$M$105,"loss",デモトレ履歴!$B$4:$B$105,成績表!$A13&amp;"*")</f>
        <v>-49930</v>
      </c>
      <c r="D13" s="123">
        <f>SUMIFS(デモトレ履歴!$P$4:$P$105,デモトレ履歴!$M$4:$M$105,"drw",デモトレ履歴!$B$4:$B$105,成績表!$A13&amp;"*")</f>
        <v>0</v>
      </c>
      <c r="E13" s="123">
        <f t="shared" si="0"/>
        <v>-49930</v>
      </c>
      <c r="F13" s="124">
        <f>COUNTIF(デモトレ履歴!$B$4:$B$105,成績表!$A13&amp;"*")</f>
        <v>4</v>
      </c>
      <c r="G13" s="124">
        <f>COUNTIFS(デモトレ履歴!$M$4:$M$105,"win",デモトレ履歴!$B$4:$B$105,成績表!$A13&amp;"*")</f>
        <v>0</v>
      </c>
      <c r="H13" s="124">
        <f>COUNTIFS(デモトレ履歴!$M$4:$M$105,"loss",デモトレ履歴!$B$4:$B$105,成績表!$A13&amp;"*")</f>
        <v>4</v>
      </c>
      <c r="I13" s="124">
        <f>COUNTIFS(デモトレ履歴!$M$4:$M$105,"drw",デモトレ履歴!$B$4:$B$105,成績表!$A13&amp;"*")</f>
        <v>0</v>
      </c>
      <c r="J13" s="125">
        <f t="shared" si="5"/>
        <v>0</v>
      </c>
      <c r="K13" s="123">
        <f t="shared" si="1"/>
        <v>0</v>
      </c>
      <c r="L13" s="123">
        <f t="shared" si="2"/>
        <v>12482.5</v>
      </c>
      <c r="M13" s="138">
        <f t="shared" si="6"/>
        <v>0</v>
      </c>
      <c r="N13" s="139">
        <f t="shared" si="3"/>
        <v>0</v>
      </c>
      <c r="AD13" s="123">
        <f t="shared" si="4"/>
        <v>49930</v>
      </c>
    </row>
    <row r="14" spans="1:30">
      <c r="A14" s="122" t="s">
        <v>182</v>
      </c>
      <c r="B14" s="123">
        <f>SUMIFS(デモトレ履歴!$P$4:$P$105,デモトレ履歴!$M$4:$M$105,"win",デモトレ履歴!$B$4:$B$105,成績表!$A14&amp;"*")</f>
        <v>0</v>
      </c>
      <c r="C14" s="123">
        <f>SUMIFS(デモトレ履歴!$P$4:$P$105,デモトレ履歴!$M$4:$M$105,"loss",デモトレ履歴!$B$4:$B$105,成績表!$A14&amp;"*")</f>
        <v>-6322</v>
      </c>
      <c r="D14" s="123">
        <f>SUMIFS(デモトレ履歴!$P$4:$P$105,デモトレ履歴!$M$4:$M$105,"drw",デモトレ履歴!$B$4:$B$105,成績表!$A14&amp;"*")</f>
        <v>0</v>
      </c>
      <c r="E14" s="123">
        <f t="shared" si="0"/>
        <v>-6322</v>
      </c>
      <c r="F14" s="124">
        <f>COUNTIF(デモトレ履歴!$B$4:$B$105,成績表!$A14&amp;"*")</f>
        <v>1</v>
      </c>
      <c r="G14" s="124">
        <f>COUNTIFS(デモトレ履歴!$M$4:$M$105,"win",デモトレ履歴!$B$4:$B$105,成績表!$A14&amp;"*")</f>
        <v>0</v>
      </c>
      <c r="H14" s="124">
        <f>COUNTIFS(デモトレ履歴!$M$4:$M$105,"loss",デモトレ履歴!$B$4:$B$105,成績表!$A14&amp;"*")</f>
        <v>1</v>
      </c>
      <c r="I14" s="124">
        <f>COUNTIFS(デモトレ履歴!$M$4:$M$105,"drw",デモトレ履歴!$B$4:$B$105,成績表!$A14&amp;"*")</f>
        <v>0</v>
      </c>
      <c r="J14" s="125">
        <f t="shared" si="5"/>
        <v>0</v>
      </c>
      <c r="K14" s="123">
        <f t="shared" si="1"/>
        <v>0</v>
      </c>
      <c r="L14" s="123">
        <f t="shared" si="2"/>
        <v>6322</v>
      </c>
      <c r="M14" s="138">
        <f t="shared" si="6"/>
        <v>0</v>
      </c>
      <c r="N14" s="139">
        <f t="shared" si="3"/>
        <v>0</v>
      </c>
      <c r="AD14" s="123">
        <f t="shared" si="4"/>
        <v>6322</v>
      </c>
    </row>
    <row r="15" spans="1:30">
      <c r="A15" s="122" t="s">
        <v>183</v>
      </c>
      <c r="B15" s="123">
        <f>SUMIFS(デモトレ履歴!$P$4:$P$105,デモトレ履歴!$M$4:$M$105,"win",デモトレ履歴!$B$4:$B$105,成績表!$A15&amp;"*")</f>
        <v>4168</v>
      </c>
      <c r="C15" s="123">
        <f>SUMIFS(デモトレ履歴!$P$4:$P$105,デモトレ履歴!$M$4:$M$105,"loss",デモトレ履歴!$B$4:$B$105,成績表!$A15&amp;"*")</f>
        <v>-11171</v>
      </c>
      <c r="D15" s="123">
        <f>SUMIFS(デモトレ履歴!$P$4:$P$105,デモトレ履歴!$M$4:$M$105,"drw",デモトレ履歴!$B$4:$B$105,成績表!$A15&amp;"*")</f>
        <v>-17</v>
      </c>
      <c r="E15" s="123">
        <f t="shared" si="0"/>
        <v>-7020</v>
      </c>
      <c r="F15" s="124">
        <f>COUNTIF(デモトレ履歴!$B$4:$B$105,成績表!$A15&amp;"*")</f>
        <v>7</v>
      </c>
      <c r="G15" s="124">
        <f>COUNTIFS(デモトレ履歴!$M$4:$M$105,"win",デモトレ履歴!$B$4:$B$105,成績表!$A15&amp;"*")</f>
        <v>1</v>
      </c>
      <c r="H15" s="124">
        <f>COUNTIFS(デモトレ履歴!$M$4:$M$105,"loss",デモトレ履歴!$B$4:$B$105,成績表!$A15&amp;"*")</f>
        <v>4</v>
      </c>
      <c r="I15" s="124">
        <f>COUNTIFS(デモトレ履歴!$M$4:$M$105,"drw",デモトレ履歴!$B$4:$B$105,成績表!$A15&amp;"*")</f>
        <v>2</v>
      </c>
      <c r="J15" s="125">
        <f t="shared" si="5"/>
        <v>0.14285714285714285</v>
      </c>
      <c r="K15" s="123">
        <f t="shared" si="1"/>
        <v>4168</v>
      </c>
      <c r="L15" s="123">
        <f t="shared" si="2"/>
        <v>2792.75</v>
      </c>
      <c r="M15" s="138">
        <f t="shared" si="6"/>
        <v>1.4924357711932683</v>
      </c>
      <c r="N15" s="139">
        <f t="shared" si="3"/>
        <v>-0.37310894279831708</v>
      </c>
      <c r="AD15" s="123">
        <f t="shared" si="4"/>
        <v>11171</v>
      </c>
    </row>
    <row r="16" spans="1:30">
      <c r="A16" s="122" t="s">
        <v>184</v>
      </c>
      <c r="B16" s="123">
        <f>SUMIFS(デモトレ履歴!$P$4:$P$105,デモトレ履歴!$M$4:$M$105,"win",デモトレ履歴!$B$4:$B$105,成績表!$A16&amp;"*")</f>
        <v>24026</v>
      </c>
      <c r="C16" s="123">
        <f>SUMIFS(デモトレ履歴!$P$4:$P$105,デモトレ履歴!$M$4:$M$105,"loss",デモトレ履歴!$B$4:$B$105,成績表!$A16&amp;"*")</f>
        <v>0</v>
      </c>
      <c r="D16" s="123">
        <f>SUMIFS(デモトレ履歴!$P$4:$P$105,デモトレ履歴!$M$4:$M$105,"drw",デモトレ履歴!$B$4:$B$105,成績表!$A16&amp;"*")</f>
        <v>0</v>
      </c>
      <c r="E16" s="123">
        <f t="shared" si="0"/>
        <v>24026</v>
      </c>
      <c r="F16" s="124">
        <f>COUNTIF(デモトレ履歴!$B$4:$B$105,成績表!$A16&amp;"*")</f>
        <v>1</v>
      </c>
      <c r="G16" s="124">
        <f>COUNTIFS(デモトレ履歴!$M$4:$M$105,"win",デモトレ履歴!$B$4:$B$105,成績表!$A16&amp;"*")</f>
        <v>1</v>
      </c>
      <c r="H16" s="124">
        <f>COUNTIFS(デモトレ履歴!$M$4:$M$105,"loss",デモトレ履歴!$B$4:$B$105,成績表!$A16&amp;"*")</f>
        <v>0</v>
      </c>
      <c r="I16" s="124">
        <f>COUNTIFS(デモトレ履歴!$M$4:$M$105,"drw",デモトレ履歴!$B$4:$B$105,成績表!$A16&amp;"*")</f>
        <v>0</v>
      </c>
      <c r="J16" s="125">
        <f t="shared" si="5"/>
        <v>1</v>
      </c>
      <c r="K16" s="123">
        <f t="shared" si="1"/>
        <v>24026</v>
      </c>
      <c r="L16" s="123">
        <f t="shared" si="2"/>
        <v>0</v>
      </c>
      <c r="M16" s="138">
        <f t="shared" si="6"/>
        <v>0</v>
      </c>
      <c r="N16" s="139">
        <f t="shared" si="3"/>
        <v>0</v>
      </c>
      <c r="AD16" s="123">
        <f t="shared" si="4"/>
        <v>0</v>
      </c>
    </row>
    <row r="17" spans="1:30">
      <c r="A17" s="122" t="s">
        <v>185</v>
      </c>
      <c r="B17" s="123">
        <f>SUMIFS(デモトレ履歴!$P$4:$P$105,デモトレ履歴!$M$4:$M$105,"win",デモトレ履歴!$B$4:$B$105,成績表!$A17&amp;"*")</f>
        <v>0</v>
      </c>
      <c r="C17" s="123">
        <f>SUMIFS(デモトレ履歴!$P$4:$P$105,デモトレ履歴!$M$4:$M$105,"loss",デモトレ履歴!$B$4:$B$105,成績表!$A17&amp;"*")</f>
        <v>-21772</v>
      </c>
      <c r="D17" s="123">
        <f>SUMIFS(デモトレ履歴!$P$4:$P$105,デモトレ履歴!$M$4:$M$105,"drw",デモトレ履歴!$B$4:$B$105,成績表!$A17&amp;"*")</f>
        <v>0</v>
      </c>
      <c r="E17" s="123">
        <f t="shared" si="0"/>
        <v>-21772</v>
      </c>
      <c r="F17" s="124">
        <f>COUNTIF(デモトレ履歴!$B$4:$B$105,成績表!$A17&amp;"*")</f>
        <v>2</v>
      </c>
      <c r="G17" s="124">
        <f>COUNTIFS(デモトレ履歴!$M$4:$M$105,"win",デモトレ履歴!$B$4:$B$105,成績表!$A17&amp;"*")</f>
        <v>0</v>
      </c>
      <c r="H17" s="124">
        <f>COUNTIFS(デモトレ履歴!$M$4:$M$105,"loss",デモトレ履歴!$B$4:$B$105,成績表!$A17&amp;"*")</f>
        <v>2</v>
      </c>
      <c r="I17" s="124">
        <f>COUNTIFS(デモトレ履歴!$M$4:$M$105,"drw",デモトレ履歴!$B$4:$B$105,成績表!$A17&amp;"*")</f>
        <v>0</v>
      </c>
      <c r="J17" s="125">
        <f t="shared" si="5"/>
        <v>0</v>
      </c>
      <c r="K17" s="123">
        <f t="shared" si="1"/>
        <v>0</v>
      </c>
      <c r="L17" s="123">
        <f t="shared" si="2"/>
        <v>10886</v>
      </c>
      <c r="M17" s="138">
        <f t="shared" si="6"/>
        <v>0</v>
      </c>
      <c r="N17" s="139">
        <f t="shared" si="3"/>
        <v>0</v>
      </c>
      <c r="AD17" s="123">
        <f t="shared" si="4"/>
        <v>21772</v>
      </c>
    </row>
    <row r="18" spans="1:30">
      <c r="A18" s="122" t="s">
        <v>189</v>
      </c>
      <c r="B18" s="123">
        <f>SUMIFS(デモトレ履歴!$P$4:$P$105,デモトレ履歴!$M$4:$M$105,"win",デモトレ履歴!$B$4:$B$105,成績表!$A18&amp;"*")</f>
        <v>0</v>
      </c>
      <c r="C18" s="123">
        <f>SUMIFS(デモトレ履歴!$P$4:$P$105,デモトレ履歴!$M$4:$M$105,"loss",デモトレ履歴!$B$4:$B$105,成績表!$A18&amp;"*")</f>
        <v>-4572</v>
      </c>
      <c r="D18" s="123">
        <f>SUMIFS(デモトレ履歴!$P$4:$P$105,デモトレ履歴!$M$4:$M$105,"drw",デモトレ履歴!$B$4:$B$105,成績表!$A18&amp;"*")</f>
        <v>0</v>
      </c>
      <c r="E18" s="123">
        <f t="shared" si="0"/>
        <v>-4572</v>
      </c>
      <c r="F18" s="124">
        <f>COUNTIF(デモトレ履歴!$B$4:$B$105,成績表!$A18&amp;"*")</f>
        <v>3</v>
      </c>
      <c r="G18" s="124">
        <f>COUNTIFS(デモトレ履歴!$M$4:$M$105,"win",デモトレ履歴!$B$4:$B$105,成績表!$A18&amp;"*")</f>
        <v>0</v>
      </c>
      <c r="H18" s="124">
        <f>COUNTIFS(デモトレ履歴!$M$4:$M$105,"loss",デモトレ履歴!$B$4:$B$105,成績表!$A18&amp;"*")</f>
        <v>1</v>
      </c>
      <c r="I18" s="124">
        <f>COUNTIFS(デモトレ履歴!$M$4:$M$105,"drw",デモトレ履歴!$B$4:$B$105,成績表!$A18&amp;"*")</f>
        <v>2</v>
      </c>
      <c r="J18" s="125">
        <f t="shared" si="5"/>
        <v>0</v>
      </c>
      <c r="K18" s="123">
        <f t="shared" si="1"/>
        <v>0</v>
      </c>
      <c r="L18" s="123">
        <f t="shared" si="2"/>
        <v>4572</v>
      </c>
      <c r="M18" s="138">
        <f t="shared" si="6"/>
        <v>0</v>
      </c>
      <c r="N18" s="139">
        <f t="shared" si="3"/>
        <v>0</v>
      </c>
      <c r="AD18" s="123">
        <f t="shared" si="4"/>
        <v>4572</v>
      </c>
    </row>
    <row r="19" spans="1:30">
      <c r="A19" s="122" t="s">
        <v>176</v>
      </c>
      <c r="B19" s="123">
        <f>SUMIFS(デモトレ履歴!$P$4:$P$105,デモトレ履歴!$M$4:$M$105,"win",デモトレ履歴!$B$4:$B$105,成績表!$A19&amp;"*")</f>
        <v>8266</v>
      </c>
      <c r="C19" s="123">
        <f>SUMIFS(デモトレ履歴!$P$4:$P$105,デモトレ履歴!$M$4:$M$105,"loss",デモトレ履歴!$B$4:$B$105,成績表!$A19&amp;"*")</f>
        <v>-11711</v>
      </c>
      <c r="D19" s="123">
        <f>SUMIFS(デモトレ履歴!$P$4:$P$105,デモトレ履歴!$M$4:$M$105,"drw",デモトレ履歴!$B$4:$B$105,成績表!$A19&amp;"*")</f>
        <v>-792</v>
      </c>
      <c r="E19" s="123">
        <f t="shared" si="0"/>
        <v>-4237</v>
      </c>
      <c r="F19" s="124">
        <f>COUNTIF(デモトレ履歴!$B$4:$B$105,成績表!$A19&amp;"*")</f>
        <v>6</v>
      </c>
      <c r="G19" s="124">
        <f>COUNTIFS(デモトレ履歴!$M$4:$M$105,"win",デモトレ履歴!$B$4:$B$105,成績表!$A19&amp;"*")</f>
        <v>1</v>
      </c>
      <c r="H19" s="124">
        <f>COUNTIFS(デモトレ履歴!$M$4:$M$105,"loss",デモトレ履歴!$B$4:$B$105,成績表!$A19&amp;"*")</f>
        <v>3</v>
      </c>
      <c r="I19" s="124">
        <f>COUNTIFS(デモトレ履歴!$M$4:$M$105,"drw",デモトレ履歴!$B$4:$B$105,成績表!$A19&amp;"*")</f>
        <v>2</v>
      </c>
      <c r="J19" s="125">
        <f t="shared" si="5"/>
        <v>0.16666666666666666</v>
      </c>
      <c r="K19" s="123">
        <f t="shared" si="1"/>
        <v>8266</v>
      </c>
      <c r="L19" s="123">
        <f t="shared" si="2"/>
        <v>3903.6666666666665</v>
      </c>
      <c r="M19" s="138">
        <f t="shared" si="6"/>
        <v>2.1174963709333108</v>
      </c>
      <c r="N19" s="139">
        <f t="shared" si="3"/>
        <v>-0.70583212364443682</v>
      </c>
      <c r="AD19" s="123">
        <f t="shared" si="4"/>
        <v>11711</v>
      </c>
    </row>
    <row r="20" spans="1:30">
      <c r="A20" s="122" t="s">
        <v>186</v>
      </c>
      <c r="B20" s="123">
        <f>SUMIFS(デモトレ履歴!$P$4:$P$105,デモトレ履歴!$M$4:$M$105,"win",デモトレ履歴!$B$4:$B$105,成績表!$A20&amp;"*")</f>
        <v>4160</v>
      </c>
      <c r="C20" s="123">
        <f>SUMIFS(デモトレ履歴!$P$4:$P$105,デモトレ履歴!$M$4:$M$105,"loss",デモトレ履歴!$B$4:$B$105,成績表!$A20&amp;"*")</f>
        <v>0</v>
      </c>
      <c r="D20" s="123">
        <f>SUMIFS(デモトレ履歴!$P$4:$P$105,デモトレ履歴!$M$4:$M$105,"drw",デモトレ履歴!$B$4:$B$105,成績表!$A20&amp;"*")</f>
        <v>0</v>
      </c>
      <c r="E20" s="123">
        <f t="shared" si="0"/>
        <v>4160</v>
      </c>
      <c r="F20" s="124">
        <f>COUNTIF(デモトレ履歴!$B$4:$B$105,成績表!$A20&amp;"*")</f>
        <v>1</v>
      </c>
      <c r="G20" s="124">
        <f>COUNTIFS(デモトレ履歴!$M$4:$M$105,"win",デモトレ履歴!$B$4:$B$105,成績表!$A20&amp;"*")</f>
        <v>1</v>
      </c>
      <c r="H20" s="124">
        <f>COUNTIFS(デモトレ履歴!$M$4:$M$105,"loss",デモトレ履歴!$B$4:$B$105,成績表!$A20&amp;"*")</f>
        <v>0</v>
      </c>
      <c r="I20" s="124">
        <f>COUNTIFS(デモトレ履歴!$M$4:$M$105,"drw",デモトレ履歴!$B$4:$B$105,成績表!$A20&amp;"*")</f>
        <v>0</v>
      </c>
      <c r="J20" s="125">
        <f t="shared" si="5"/>
        <v>1</v>
      </c>
      <c r="K20" s="123">
        <f t="shared" si="1"/>
        <v>4160</v>
      </c>
      <c r="L20" s="123">
        <f t="shared" si="2"/>
        <v>0</v>
      </c>
      <c r="M20" s="138">
        <f t="shared" si="6"/>
        <v>0</v>
      </c>
      <c r="N20" s="139">
        <f t="shared" si="3"/>
        <v>0</v>
      </c>
      <c r="AD20" s="123">
        <f t="shared" si="4"/>
        <v>0</v>
      </c>
    </row>
    <row r="21" spans="1:30">
      <c r="A21" s="122" t="s">
        <v>190</v>
      </c>
      <c r="B21" s="123">
        <f>SUMIFS(デモトレ履歴!$P$4:$P$105,デモトレ履歴!$M$4:$M$105,"win",デモトレ履歴!$B$4:$B$105,成績表!$A21&amp;"*")</f>
        <v>0</v>
      </c>
      <c r="C21" s="123">
        <f>SUMIFS(デモトレ履歴!$P$4:$P$105,デモトレ履歴!$M$4:$M$105,"loss",デモトレ履歴!$B$4:$B$105,成績表!$A21&amp;"*")</f>
        <v>0</v>
      </c>
      <c r="D21" s="123">
        <f>SUMIFS(デモトレ履歴!$P$4:$P$105,デモトレ履歴!$M$4:$M$105,"drw",デモトレ履歴!$B$4:$B$105,成績表!$A21&amp;"*")</f>
        <v>0</v>
      </c>
      <c r="E21" s="123">
        <f t="shared" si="0"/>
        <v>0</v>
      </c>
      <c r="F21" s="124">
        <f>COUNTIF(デモトレ履歴!$B$4:$B$105,成績表!$A21&amp;"*")</f>
        <v>0</v>
      </c>
      <c r="G21" s="124">
        <f>COUNTIFS(デモトレ履歴!$M$4:$M$105,"win",デモトレ履歴!$B$4:$B$105,成績表!$A21&amp;"*")</f>
        <v>0</v>
      </c>
      <c r="H21" s="124">
        <f>COUNTIFS(デモトレ履歴!$M$4:$M$105,"loss",デモトレ履歴!$B$4:$B$105,成績表!$A21&amp;"*")</f>
        <v>0</v>
      </c>
      <c r="I21" s="124">
        <f>COUNTIFS(デモトレ履歴!$M$4:$M$105,"drw",デモトレ履歴!$B$4:$B$105,成績表!$A21&amp;"*")</f>
        <v>0</v>
      </c>
      <c r="J21" s="125">
        <f t="shared" si="5"/>
        <v>0</v>
      </c>
      <c r="K21" s="123">
        <f t="shared" si="1"/>
        <v>0</v>
      </c>
      <c r="L21" s="123">
        <f t="shared" si="2"/>
        <v>0</v>
      </c>
      <c r="M21" s="138">
        <f t="shared" si="6"/>
        <v>0</v>
      </c>
      <c r="N21" s="139">
        <f t="shared" si="3"/>
        <v>0</v>
      </c>
      <c r="AD21" s="123">
        <f t="shared" si="4"/>
        <v>0</v>
      </c>
    </row>
    <row r="22" spans="1:30">
      <c r="A22" s="122" t="s">
        <v>191</v>
      </c>
      <c r="B22" s="123">
        <f>SUMIFS(デモトレ履歴!$P$4:$P$105,デモトレ履歴!$M$4:$M$105,"win",デモトレ履歴!$B$4:$B$105,成績表!$A22&amp;"*")</f>
        <v>0</v>
      </c>
      <c r="C22" s="123">
        <f>SUMIFS(デモトレ履歴!$P$4:$P$105,デモトレ履歴!$M$4:$M$105,"loss",デモトレ履歴!$B$4:$B$105,成績表!$A22&amp;"*")</f>
        <v>-24328</v>
      </c>
      <c r="D22" s="123">
        <f>SUMIFS(デモトレ履歴!$P$4:$P$105,デモトレ履歴!$M$4:$M$105,"drw",デモトレ履歴!$B$4:$B$105,成績表!$A22&amp;"*")</f>
        <v>-69</v>
      </c>
      <c r="E22" s="123">
        <f t="shared" si="0"/>
        <v>-24397</v>
      </c>
      <c r="F22" s="124">
        <f>COUNTIF(デモトレ履歴!$B$4:$B$105,成績表!$A22&amp;"*")</f>
        <v>4</v>
      </c>
      <c r="G22" s="124">
        <f>COUNTIFS(デモトレ履歴!$M$4:$M$105,"win",デモトレ履歴!$B$4:$B$105,成績表!$A22&amp;"*")</f>
        <v>0</v>
      </c>
      <c r="H22" s="124">
        <f>COUNTIFS(デモトレ履歴!$M$4:$M$105,"loss",デモトレ履歴!$B$4:$B$105,成績表!$A22&amp;"*")</f>
        <v>2</v>
      </c>
      <c r="I22" s="124">
        <f>COUNTIFS(デモトレ履歴!$M$4:$M$105,"drw",デモトレ履歴!$B$4:$B$105,成績表!$A22&amp;"*")</f>
        <v>2</v>
      </c>
      <c r="J22" s="125">
        <f t="shared" si="5"/>
        <v>0</v>
      </c>
      <c r="K22" s="123">
        <f t="shared" si="1"/>
        <v>0</v>
      </c>
      <c r="L22" s="123">
        <f t="shared" si="2"/>
        <v>12164</v>
      </c>
      <c r="M22" s="138">
        <f t="shared" si="6"/>
        <v>0</v>
      </c>
      <c r="N22" s="139">
        <f t="shared" si="3"/>
        <v>0</v>
      </c>
      <c r="AD22" s="123">
        <f t="shared" si="4"/>
        <v>24328</v>
      </c>
    </row>
    <row r="23" spans="1:30">
      <c r="A23" s="122" t="s">
        <v>192</v>
      </c>
      <c r="B23" s="123">
        <f>SUMIFS(デモトレ履歴!$P$4:$P$105,デモトレ履歴!$M$4:$M$105,"win",デモトレ履歴!$B$4:$B$105,成績表!$A23&amp;"*")</f>
        <v>0</v>
      </c>
      <c r="C23" s="123">
        <f>SUMIFS(デモトレ履歴!$P$4:$P$105,デモトレ履歴!$M$4:$M$105,"loss",デモトレ履歴!$B$4:$B$105,成績表!$A23&amp;"*")</f>
        <v>0</v>
      </c>
      <c r="D23" s="123">
        <f>SUMIFS(デモトレ履歴!$P$4:$P$105,デモトレ履歴!$M$4:$M$105,"drw",デモトレ履歴!$B$4:$B$105,成績表!$A23&amp;"*")</f>
        <v>0</v>
      </c>
      <c r="E23" s="123">
        <f t="shared" si="0"/>
        <v>0</v>
      </c>
      <c r="F23" s="124">
        <f>COUNTIF(デモトレ履歴!$B$4:$B$105,成績表!$A23&amp;"*")</f>
        <v>0</v>
      </c>
      <c r="G23" s="124">
        <f>COUNTIFS(デモトレ履歴!$M$4:$M$105,"win",デモトレ履歴!$B$4:$B$105,成績表!$A23&amp;"*")</f>
        <v>0</v>
      </c>
      <c r="H23" s="124">
        <f>COUNTIFS(デモトレ履歴!$M$4:$M$105,"loss",デモトレ履歴!$B$4:$B$105,成績表!$A23&amp;"*")</f>
        <v>0</v>
      </c>
      <c r="I23" s="124">
        <f>COUNTIFS(デモトレ履歴!$M$4:$M$105,"drw",デモトレ履歴!$B$4:$B$105,成績表!$A23&amp;"*")</f>
        <v>0</v>
      </c>
      <c r="J23" s="125">
        <f t="shared" si="5"/>
        <v>0</v>
      </c>
      <c r="K23" s="123">
        <f t="shared" si="1"/>
        <v>0</v>
      </c>
      <c r="L23" s="123">
        <f t="shared" si="2"/>
        <v>0</v>
      </c>
      <c r="M23" s="138">
        <f t="shared" si="6"/>
        <v>0</v>
      </c>
      <c r="N23" s="139">
        <f t="shared" si="3"/>
        <v>0</v>
      </c>
      <c r="AD23" s="123">
        <f t="shared" si="4"/>
        <v>0</v>
      </c>
    </row>
    <row r="24" spans="1:30">
      <c r="A24" s="122" t="s">
        <v>193</v>
      </c>
      <c r="B24" s="123">
        <f>SUMIFS(デモトレ履歴!$P$4:$P$105,デモトレ履歴!$M$4:$M$105,"win",デモトレ履歴!$B$4:$B$105,成績表!$A24&amp;"*")</f>
        <v>0</v>
      </c>
      <c r="C24" s="123">
        <f>SUMIFS(デモトレ履歴!$P$4:$P$105,デモトレ履歴!$M$4:$M$105,"loss",デモトレ履歴!$B$4:$B$105,成績表!$A24&amp;"*")</f>
        <v>0</v>
      </c>
      <c r="D24" s="123">
        <f>SUMIFS(デモトレ履歴!$P$4:$P$105,デモトレ履歴!$M$4:$M$105,"drw",デモトレ履歴!$B$4:$B$105,成績表!$A24&amp;"*")</f>
        <v>0</v>
      </c>
      <c r="E24" s="123">
        <f t="shared" si="0"/>
        <v>0</v>
      </c>
      <c r="F24" s="124">
        <f>COUNTIF(デモトレ履歴!$B$4:$B$105,成績表!$A24&amp;"*")</f>
        <v>0</v>
      </c>
      <c r="G24" s="124">
        <f>COUNTIFS(デモトレ履歴!$M$4:$M$105,"win",デモトレ履歴!$B$4:$B$105,成績表!$A24&amp;"*")</f>
        <v>0</v>
      </c>
      <c r="H24" s="124">
        <f>COUNTIFS(デモトレ履歴!$M$4:$M$105,"loss",デモトレ履歴!$B$4:$B$105,成績表!$A24&amp;"*")</f>
        <v>0</v>
      </c>
      <c r="I24" s="124">
        <f>COUNTIFS(デモトレ履歴!$M$4:$M$105,"drw",デモトレ履歴!$B$4:$B$105,成績表!$A24&amp;"*")</f>
        <v>0</v>
      </c>
      <c r="J24" s="125">
        <f t="shared" si="5"/>
        <v>0</v>
      </c>
      <c r="K24" s="123">
        <f t="shared" si="1"/>
        <v>0</v>
      </c>
      <c r="L24" s="123">
        <f t="shared" si="2"/>
        <v>0</v>
      </c>
      <c r="M24" s="138">
        <f t="shared" si="6"/>
        <v>0</v>
      </c>
      <c r="N24" s="139">
        <f t="shared" si="3"/>
        <v>0</v>
      </c>
      <c r="AD24" s="123">
        <f t="shared" si="4"/>
        <v>0</v>
      </c>
    </row>
    <row r="25" spans="1:30">
      <c r="A25" s="122" t="s">
        <v>194</v>
      </c>
      <c r="B25" s="123">
        <f>SUMIFS(デモトレ履歴!$P$4:$P$105,デモトレ履歴!$M$4:$M$105,"win",デモトレ履歴!$B$4:$B$105,成績表!$A25&amp;"*")</f>
        <v>0</v>
      </c>
      <c r="C25" s="123">
        <f>SUMIFS(デモトレ履歴!$P$4:$P$105,デモトレ履歴!$M$4:$M$105,"loss",デモトレ履歴!$B$4:$B$105,成績表!$A25&amp;"*")</f>
        <v>0</v>
      </c>
      <c r="D25" s="123">
        <f>SUMIFS(デモトレ履歴!$P$4:$P$105,デモトレ履歴!$M$4:$M$105,"drw",デモトレ履歴!$B$4:$B$105,成績表!$A25&amp;"*")</f>
        <v>0</v>
      </c>
      <c r="E25" s="123">
        <f t="shared" si="0"/>
        <v>0</v>
      </c>
      <c r="F25" s="124">
        <f>COUNTIF(デモトレ履歴!$B$4:$B$105,成績表!$A25&amp;"*")</f>
        <v>0</v>
      </c>
      <c r="G25" s="124">
        <f>COUNTIFS(デモトレ履歴!$M$4:$M$105,"win",デモトレ履歴!$B$4:$B$105,成績表!$A25&amp;"*")</f>
        <v>0</v>
      </c>
      <c r="H25" s="124">
        <f>COUNTIFS(デモトレ履歴!$M$4:$M$105,"loss",デモトレ履歴!$B$4:$B$105,成績表!$A25&amp;"*")</f>
        <v>0</v>
      </c>
      <c r="I25" s="124">
        <f>COUNTIFS(デモトレ履歴!$M$4:$M$105,"drw",デモトレ履歴!$B$4:$B$105,成績表!$A25&amp;"*")</f>
        <v>0</v>
      </c>
      <c r="J25" s="125">
        <f t="shared" si="5"/>
        <v>0</v>
      </c>
      <c r="K25" s="123">
        <f t="shared" si="1"/>
        <v>0</v>
      </c>
      <c r="L25" s="123">
        <f t="shared" si="2"/>
        <v>0</v>
      </c>
      <c r="M25" s="138">
        <f t="shared" si="6"/>
        <v>0</v>
      </c>
      <c r="N25" s="139">
        <f t="shared" si="3"/>
        <v>0</v>
      </c>
      <c r="AD25" s="123">
        <f t="shared" si="4"/>
        <v>0</v>
      </c>
    </row>
    <row r="26" spans="1:30">
      <c r="A26" s="122" t="s">
        <v>195</v>
      </c>
      <c r="B26" s="123">
        <f>SUMIFS(デモトレ履歴!$P$4:$P$105,デモトレ履歴!$M$4:$M$105,"win",デモトレ履歴!$B$4:$B$105,成績表!$A26&amp;"*")</f>
        <v>0</v>
      </c>
      <c r="C26" s="123">
        <f>SUMIFS(デモトレ履歴!$P$4:$P$105,デモトレ履歴!$M$4:$M$105,"loss",デモトレ履歴!$B$4:$B$105,成績表!$A26&amp;"*")</f>
        <v>-9553</v>
      </c>
      <c r="D26" s="123">
        <f>SUMIFS(デモトレ履歴!$P$4:$P$105,デモトレ履歴!$M$4:$M$105,"drw",デモトレ履歴!$B$4:$B$105,成績表!$A26&amp;"*")</f>
        <v>0</v>
      </c>
      <c r="E26" s="123">
        <f t="shared" si="0"/>
        <v>-9553</v>
      </c>
      <c r="F26" s="124">
        <f>COUNTIF(デモトレ履歴!$B$4:$B$105,成績表!$A26&amp;"*")</f>
        <v>1</v>
      </c>
      <c r="G26" s="124">
        <f>COUNTIFS(デモトレ履歴!$M$4:$M$105,"win",デモトレ履歴!$B$4:$B$105,成績表!$A26&amp;"*")</f>
        <v>0</v>
      </c>
      <c r="H26" s="124">
        <f>COUNTIFS(デモトレ履歴!$M$4:$M$105,"loss",デモトレ履歴!$B$4:$B$105,成績表!$A26&amp;"*")</f>
        <v>1</v>
      </c>
      <c r="I26" s="124">
        <f>COUNTIFS(デモトレ履歴!$M$4:$M$105,"drw",デモトレ履歴!$B$4:$B$105,成績表!$A26&amp;"*")</f>
        <v>0</v>
      </c>
      <c r="J26" s="125">
        <f t="shared" si="5"/>
        <v>0</v>
      </c>
      <c r="K26" s="123">
        <f t="shared" si="1"/>
        <v>0</v>
      </c>
      <c r="L26" s="123">
        <f t="shared" si="2"/>
        <v>9553</v>
      </c>
      <c r="M26" s="138">
        <f t="shared" si="6"/>
        <v>0</v>
      </c>
      <c r="N26" s="139">
        <f t="shared" si="3"/>
        <v>0</v>
      </c>
      <c r="AD26" s="123">
        <f t="shared" si="4"/>
        <v>9553</v>
      </c>
    </row>
    <row r="27" spans="1:30">
      <c r="A27" s="122" t="s">
        <v>196</v>
      </c>
      <c r="B27" s="123">
        <f>SUMIFS(デモトレ履歴!$P$4:$P$105,デモトレ履歴!$M$4:$M$105,"win",デモトレ履歴!$B$4:$B$105,成績表!$A27&amp;"*")</f>
        <v>0</v>
      </c>
      <c r="C27" s="123">
        <f>SUMIFS(デモトレ履歴!$P$4:$P$105,デモトレ履歴!$M$4:$M$105,"loss",デモトレ履歴!$B$4:$B$105,成績表!$A27&amp;"*")</f>
        <v>0</v>
      </c>
      <c r="D27" s="123">
        <f>SUMIFS(デモトレ履歴!$P$4:$P$105,デモトレ履歴!$M$4:$M$105,"drw",デモトレ履歴!$B$4:$B$105,成績表!$A27&amp;"*")</f>
        <v>0</v>
      </c>
      <c r="E27" s="123">
        <f t="shared" si="0"/>
        <v>0</v>
      </c>
      <c r="F27" s="124">
        <f>COUNTIF(デモトレ履歴!$B$4:$B$105,成績表!$A27&amp;"*")</f>
        <v>0</v>
      </c>
      <c r="G27" s="124">
        <f>COUNTIFS(デモトレ履歴!$M$4:$M$105,"win",デモトレ履歴!$B$4:$B$105,成績表!$A27&amp;"*")</f>
        <v>0</v>
      </c>
      <c r="H27" s="124">
        <f>COUNTIFS(デモトレ履歴!$M$4:$M$105,"loss",デモトレ履歴!$B$4:$B$105,成績表!$A27&amp;"*")</f>
        <v>0</v>
      </c>
      <c r="I27" s="124">
        <f>COUNTIFS(デモトレ履歴!$M$4:$M$105,"drw",デモトレ履歴!$B$4:$B$105,成績表!$A27&amp;"*")</f>
        <v>0</v>
      </c>
      <c r="J27" s="125">
        <f t="shared" si="5"/>
        <v>0</v>
      </c>
      <c r="K27" s="123">
        <f t="shared" si="1"/>
        <v>0</v>
      </c>
      <c r="L27" s="123">
        <f t="shared" si="2"/>
        <v>0</v>
      </c>
      <c r="M27" s="138">
        <f t="shared" si="6"/>
        <v>0</v>
      </c>
      <c r="N27" s="139">
        <f t="shared" si="3"/>
        <v>0</v>
      </c>
      <c r="AD27" s="123">
        <f t="shared" si="4"/>
        <v>0</v>
      </c>
    </row>
    <row r="28" spans="1:30">
      <c r="A28" s="122" t="s">
        <v>197</v>
      </c>
      <c r="B28" s="123">
        <f>SUMIFS(デモトレ履歴!$P$4:$P$105,デモトレ履歴!$M$4:$M$105,"win",デモトレ履歴!$B$4:$B$105,成績表!$A28&amp;"*")</f>
        <v>0</v>
      </c>
      <c r="C28" s="123">
        <f>SUMIFS(デモトレ履歴!$P$4:$P$105,デモトレ履歴!$M$4:$M$105,"loss",デモトレ履歴!$B$4:$B$105,成績表!$A28&amp;"*")</f>
        <v>0</v>
      </c>
      <c r="D28" s="123">
        <f>SUMIFS(デモトレ履歴!$P$4:$P$105,デモトレ履歴!$M$4:$M$105,"drw",デモトレ履歴!$B$4:$B$105,成績表!$A28&amp;"*")</f>
        <v>0</v>
      </c>
      <c r="E28" s="123">
        <f t="shared" si="0"/>
        <v>0</v>
      </c>
      <c r="F28" s="124">
        <f>COUNTIF(デモトレ履歴!$B$4:$B$105,成績表!$A28&amp;"*")</f>
        <v>0</v>
      </c>
      <c r="G28" s="124">
        <f>COUNTIFS(デモトレ履歴!$M$4:$M$105,"win",デモトレ履歴!$B$4:$B$105,成績表!$A28&amp;"*")</f>
        <v>0</v>
      </c>
      <c r="H28" s="124">
        <f>COUNTIFS(デモトレ履歴!$M$4:$M$105,"loss",デモトレ履歴!$B$4:$B$105,成績表!$A28&amp;"*")</f>
        <v>0</v>
      </c>
      <c r="I28" s="124">
        <f>COUNTIFS(デモトレ履歴!$M$4:$M$105,"drw",デモトレ履歴!$B$4:$B$105,成績表!$A28&amp;"*")</f>
        <v>0</v>
      </c>
      <c r="J28" s="125">
        <f t="shared" si="5"/>
        <v>0</v>
      </c>
      <c r="K28" s="123">
        <f t="shared" si="1"/>
        <v>0</v>
      </c>
      <c r="L28" s="123">
        <f t="shared" si="2"/>
        <v>0</v>
      </c>
      <c r="M28" s="138">
        <f t="shared" si="6"/>
        <v>0</v>
      </c>
      <c r="N28" s="139">
        <f t="shared" si="3"/>
        <v>0</v>
      </c>
      <c r="AD28" s="123">
        <f t="shared" si="4"/>
        <v>0</v>
      </c>
    </row>
    <row r="29" spans="1:30">
      <c r="A29" s="122" t="s">
        <v>198</v>
      </c>
      <c r="B29" s="123">
        <f>SUMIFS(デモトレ履歴!$P$4:$P$105,デモトレ履歴!$M$4:$M$105,"win",デモトレ履歴!$B$4:$B$105,成績表!$A29&amp;"*")</f>
        <v>0</v>
      </c>
      <c r="C29" s="123">
        <f>SUMIFS(デモトレ履歴!$P$4:$P$105,デモトレ履歴!$M$4:$M$105,"loss",デモトレ履歴!$B$4:$B$105,成績表!$A29&amp;"*")</f>
        <v>0</v>
      </c>
      <c r="D29" s="123">
        <f>SUMIFS(デモトレ履歴!$P$4:$P$105,デモトレ履歴!$M$4:$M$105,"drw",デモトレ履歴!$B$4:$B$105,成績表!$A29&amp;"*")</f>
        <v>0</v>
      </c>
      <c r="E29" s="123">
        <f t="shared" si="0"/>
        <v>0</v>
      </c>
      <c r="F29" s="124">
        <f>COUNTIF(デモトレ履歴!$B$4:$B$105,成績表!$A29&amp;"*")</f>
        <v>0</v>
      </c>
      <c r="G29" s="124">
        <f>COUNTIFS(デモトレ履歴!$M$4:$M$105,"win",デモトレ履歴!$B$4:$B$105,成績表!$A29&amp;"*")</f>
        <v>0</v>
      </c>
      <c r="H29" s="124">
        <f>COUNTIFS(デモトレ履歴!$M$4:$M$105,"loss",デモトレ履歴!$B$4:$B$105,成績表!$A29&amp;"*")</f>
        <v>0</v>
      </c>
      <c r="I29" s="124">
        <f>COUNTIFS(デモトレ履歴!$M$4:$M$105,"drw",デモトレ履歴!$B$4:$B$105,成績表!$A29&amp;"*")</f>
        <v>0</v>
      </c>
      <c r="J29" s="125">
        <f t="shared" si="5"/>
        <v>0</v>
      </c>
      <c r="K29" s="123">
        <f t="shared" si="1"/>
        <v>0</v>
      </c>
      <c r="L29" s="123">
        <f t="shared" si="2"/>
        <v>0</v>
      </c>
      <c r="M29" s="138">
        <f t="shared" si="6"/>
        <v>0</v>
      </c>
      <c r="N29" s="139">
        <f t="shared" si="3"/>
        <v>0</v>
      </c>
      <c r="AD29" s="123">
        <f t="shared" si="4"/>
        <v>0</v>
      </c>
    </row>
    <row r="30" spans="1:30">
      <c r="A30" s="122" t="s">
        <v>199</v>
      </c>
      <c r="B30" s="123">
        <f>SUMIFS(デモトレ履歴!$P$4:$P$105,デモトレ履歴!$M$4:$M$105,"win",デモトレ履歴!$B$4:$B$105,成績表!$A30&amp;"*")</f>
        <v>0</v>
      </c>
      <c r="C30" s="123">
        <f>SUMIFS(デモトレ履歴!$P$4:$P$105,デモトレ履歴!$M$4:$M$105,"loss",デモトレ履歴!$B$4:$B$105,成績表!$A30&amp;"*")</f>
        <v>0</v>
      </c>
      <c r="D30" s="123">
        <f>SUMIFS(デモトレ履歴!$P$4:$P$105,デモトレ履歴!$M$4:$M$105,"drw",デモトレ履歴!$B$4:$B$105,成績表!$A30&amp;"*")</f>
        <v>0</v>
      </c>
      <c r="E30" s="123">
        <f t="shared" si="0"/>
        <v>0</v>
      </c>
      <c r="F30" s="124">
        <f>COUNTIF(デモトレ履歴!$B$4:$B$105,成績表!$A30&amp;"*")</f>
        <v>0</v>
      </c>
      <c r="G30" s="124">
        <f>COUNTIFS(デモトレ履歴!$M$4:$M$105,"win",デモトレ履歴!$B$4:$B$105,成績表!$A30&amp;"*")</f>
        <v>0</v>
      </c>
      <c r="H30" s="124">
        <f>COUNTIFS(デモトレ履歴!$M$4:$M$105,"loss",デモトレ履歴!$B$4:$B$105,成績表!$A30&amp;"*")</f>
        <v>0</v>
      </c>
      <c r="I30" s="124">
        <f>COUNTIFS(デモトレ履歴!$M$4:$M$105,"drw",デモトレ履歴!$B$4:$B$105,成績表!$A30&amp;"*")</f>
        <v>0</v>
      </c>
      <c r="J30" s="125">
        <f t="shared" si="5"/>
        <v>0</v>
      </c>
      <c r="K30" s="123">
        <f t="shared" si="1"/>
        <v>0</v>
      </c>
      <c r="L30" s="123">
        <f t="shared" si="2"/>
        <v>0</v>
      </c>
      <c r="M30" s="138">
        <f t="shared" si="6"/>
        <v>0</v>
      </c>
      <c r="N30" s="139">
        <f t="shared" si="3"/>
        <v>0</v>
      </c>
      <c r="AD30" s="123">
        <f t="shared" si="4"/>
        <v>0</v>
      </c>
    </row>
    <row r="31" spans="1:30">
      <c r="A31" s="122" t="s">
        <v>200</v>
      </c>
      <c r="B31" s="123">
        <f>SUMIFS(デモトレ履歴!$P$4:$P$105,デモトレ履歴!$M$4:$M$105,"win",デモトレ履歴!$B$4:$B$105,成績表!$A31&amp;"*")</f>
        <v>0</v>
      </c>
      <c r="C31" s="123">
        <f>SUMIFS(デモトレ履歴!$P$4:$P$105,デモトレ履歴!$M$4:$M$105,"loss",デモトレ履歴!$B$4:$B$105,成績表!$A31&amp;"*")</f>
        <v>0</v>
      </c>
      <c r="D31" s="123">
        <f>SUMIFS(デモトレ履歴!$P$4:$P$105,デモトレ履歴!$M$4:$M$105,"drw",デモトレ履歴!$B$4:$B$105,成績表!$A31&amp;"*")</f>
        <v>0</v>
      </c>
      <c r="E31" s="123">
        <f t="shared" si="0"/>
        <v>0</v>
      </c>
      <c r="F31" s="124">
        <f>COUNTIF(デモトレ履歴!$B$4:$B$105,成績表!$A31&amp;"*")</f>
        <v>0</v>
      </c>
      <c r="G31" s="124">
        <f>COUNTIFS(デモトレ履歴!$M$4:$M$105,"win",デモトレ履歴!$B$4:$B$105,成績表!$A31&amp;"*")</f>
        <v>0</v>
      </c>
      <c r="H31" s="124">
        <f>COUNTIFS(デモトレ履歴!$M$4:$M$105,"loss",デモトレ履歴!$B$4:$B$105,成績表!$A31&amp;"*")</f>
        <v>0</v>
      </c>
      <c r="I31" s="124">
        <f>COUNTIFS(デモトレ履歴!$M$4:$M$105,"drw",デモトレ履歴!$B$4:$B$105,成績表!$A31&amp;"*")</f>
        <v>0</v>
      </c>
      <c r="J31" s="125">
        <f t="shared" si="5"/>
        <v>0</v>
      </c>
      <c r="K31" s="123">
        <f t="shared" si="1"/>
        <v>0</v>
      </c>
      <c r="L31" s="123">
        <f t="shared" si="2"/>
        <v>0</v>
      </c>
      <c r="M31" s="138">
        <f t="shared" si="6"/>
        <v>0</v>
      </c>
      <c r="N31" s="139">
        <f t="shared" si="3"/>
        <v>0</v>
      </c>
      <c r="AD31" s="123">
        <f t="shared" si="4"/>
        <v>0</v>
      </c>
    </row>
    <row r="32" spans="1:30">
      <c r="A32" s="122" t="s">
        <v>201</v>
      </c>
      <c r="B32" s="123">
        <f>SUMIFS(デモトレ履歴!$P$4:$P$105,デモトレ履歴!$M$4:$M$105,"win",デモトレ履歴!$B$4:$B$105,成績表!$A32&amp;"*")</f>
        <v>0</v>
      </c>
      <c r="C32" s="123">
        <f>SUMIFS(デモトレ履歴!$P$4:$P$105,デモトレ履歴!$M$4:$M$105,"loss",デモトレ履歴!$B$4:$B$105,成績表!$A32&amp;"*")</f>
        <v>0</v>
      </c>
      <c r="D32" s="123">
        <f>SUMIFS(デモトレ履歴!$P$4:$P$105,デモトレ履歴!$M$4:$M$105,"drw",デモトレ履歴!$B$4:$B$105,成績表!$A32&amp;"*")</f>
        <v>101</v>
      </c>
      <c r="E32" s="123">
        <f t="shared" si="0"/>
        <v>101</v>
      </c>
      <c r="F32" s="124">
        <f>COUNTIF(デモトレ履歴!$B$4:$B$105,成績表!$A32&amp;"*")</f>
        <v>2</v>
      </c>
      <c r="G32" s="124">
        <f>COUNTIFS(デモトレ履歴!$M$4:$M$105,"win",デモトレ履歴!$B$4:$B$105,成績表!$A32&amp;"*")</f>
        <v>0</v>
      </c>
      <c r="H32" s="124">
        <f>COUNTIFS(デモトレ履歴!$M$4:$M$105,"loss",デモトレ履歴!$B$4:$B$105,成績表!$A32&amp;"*")</f>
        <v>0</v>
      </c>
      <c r="I32" s="124">
        <f>COUNTIFS(デモトレ履歴!$M$4:$M$105,"drw",デモトレ履歴!$B$4:$B$105,成績表!$A32&amp;"*")</f>
        <v>2</v>
      </c>
      <c r="J32" s="125">
        <f t="shared" si="5"/>
        <v>0</v>
      </c>
      <c r="K32" s="123">
        <f t="shared" si="1"/>
        <v>0</v>
      </c>
      <c r="L32" s="123">
        <f t="shared" si="2"/>
        <v>0</v>
      </c>
      <c r="M32" s="138">
        <f t="shared" si="6"/>
        <v>0</v>
      </c>
      <c r="N32" s="139">
        <f t="shared" si="3"/>
        <v>0</v>
      </c>
      <c r="AD32" s="123">
        <f t="shared" si="4"/>
        <v>0</v>
      </c>
    </row>
    <row r="33" spans="1:30">
      <c r="A33" s="122" t="s">
        <v>202</v>
      </c>
      <c r="B33" s="123">
        <f>SUMIFS(デモトレ履歴!$P$4:$P$105,デモトレ履歴!$M$4:$M$105,"win",デモトレ履歴!$B$4:$B$105,成績表!$A33&amp;"*")</f>
        <v>0</v>
      </c>
      <c r="C33" s="123">
        <f>SUMIFS(デモトレ履歴!$P$4:$P$105,デモトレ履歴!$M$4:$M$105,"loss",デモトレ履歴!$B$4:$B$105,成績表!$A33&amp;"*")</f>
        <v>0</v>
      </c>
      <c r="D33" s="123">
        <f>SUMIFS(デモトレ履歴!$P$4:$P$105,デモトレ履歴!$M$4:$M$105,"drw",デモトレ履歴!$B$4:$B$105,成績表!$A33&amp;"*")</f>
        <v>0</v>
      </c>
      <c r="E33" s="123">
        <f t="shared" si="0"/>
        <v>0</v>
      </c>
      <c r="F33" s="124">
        <f>COUNTIF(デモトレ履歴!$B$4:$B$105,成績表!$A33&amp;"*")</f>
        <v>0</v>
      </c>
      <c r="G33" s="124">
        <f>COUNTIFS(デモトレ履歴!$M$4:$M$105,"win",デモトレ履歴!$B$4:$B$105,成績表!$A33&amp;"*")</f>
        <v>0</v>
      </c>
      <c r="H33" s="124">
        <f>COUNTIFS(デモトレ履歴!$M$4:$M$105,"loss",デモトレ履歴!$B$4:$B$105,成績表!$A33&amp;"*")</f>
        <v>0</v>
      </c>
      <c r="I33" s="124">
        <f>COUNTIFS(デモトレ履歴!$M$4:$M$105,"drw",デモトレ履歴!$B$4:$B$105,成績表!$A33&amp;"*")</f>
        <v>0</v>
      </c>
      <c r="J33" s="125">
        <f t="shared" si="5"/>
        <v>0</v>
      </c>
      <c r="K33" s="123">
        <f t="shared" si="1"/>
        <v>0</v>
      </c>
      <c r="L33" s="123">
        <f t="shared" si="2"/>
        <v>0</v>
      </c>
      <c r="M33" s="138">
        <f t="shared" si="6"/>
        <v>0</v>
      </c>
      <c r="N33" s="139">
        <f t="shared" si="3"/>
        <v>0</v>
      </c>
      <c r="AD33" s="123">
        <f t="shared" si="4"/>
        <v>0</v>
      </c>
    </row>
    <row r="34" spans="1:30">
      <c r="A34" s="122" t="s">
        <v>203</v>
      </c>
      <c r="B34" s="123">
        <f>SUMIFS(デモトレ履歴!$P$4:$P$105,デモトレ履歴!$M$4:$M$105,"win",デモトレ履歴!$B$4:$B$105,成績表!$A34&amp;"*")</f>
        <v>0</v>
      </c>
      <c r="C34" s="123">
        <f>SUMIFS(デモトレ履歴!$P$4:$P$105,デモトレ履歴!$M$4:$M$105,"loss",デモトレ履歴!$B$4:$B$105,成績表!$A34&amp;"*")</f>
        <v>0</v>
      </c>
      <c r="D34" s="123">
        <f>SUMIFS(デモトレ履歴!$P$4:$P$105,デモトレ履歴!$M$4:$M$105,"drw",デモトレ履歴!$B$4:$B$105,成績表!$A34&amp;"*")</f>
        <v>0</v>
      </c>
      <c r="E34" s="123">
        <f t="shared" si="0"/>
        <v>0</v>
      </c>
      <c r="F34" s="124">
        <f>COUNTIF(デモトレ履歴!$B$4:$B$105,成績表!$A34&amp;"*")</f>
        <v>0</v>
      </c>
      <c r="G34" s="124">
        <f>COUNTIFS(デモトレ履歴!$M$4:$M$105,"win",デモトレ履歴!$B$4:$B$105,成績表!$A34&amp;"*")</f>
        <v>0</v>
      </c>
      <c r="H34" s="124">
        <f>COUNTIFS(デモトレ履歴!$M$4:$M$105,"loss",デモトレ履歴!$B$4:$B$105,成績表!$A34&amp;"*")</f>
        <v>0</v>
      </c>
      <c r="I34" s="124">
        <f>COUNTIFS(デモトレ履歴!$M$4:$M$105,"drw",デモトレ履歴!$B$4:$B$105,成績表!$A34&amp;"*")</f>
        <v>0</v>
      </c>
      <c r="J34" s="125">
        <f t="shared" si="5"/>
        <v>0</v>
      </c>
      <c r="K34" s="123">
        <f t="shared" si="1"/>
        <v>0</v>
      </c>
      <c r="L34" s="123">
        <f t="shared" si="2"/>
        <v>0</v>
      </c>
      <c r="M34" s="138">
        <f t="shared" si="6"/>
        <v>0</v>
      </c>
      <c r="N34" s="139">
        <f t="shared" si="3"/>
        <v>0</v>
      </c>
      <c r="AD34" s="123">
        <f t="shared" si="4"/>
        <v>0</v>
      </c>
    </row>
    <row r="35" spans="1:30">
      <c r="A35" s="122" t="s">
        <v>204</v>
      </c>
      <c r="B35" s="123">
        <f>SUMIFS(デモトレ履歴!$P$4:$P$105,デモトレ履歴!$M$4:$M$105,"win",デモトレ履歴!$B$4:$B$105,成績表!$A35&amp;"*")</f>
        <v>0</v>
      </c>
      <c r="C35" s="123">
        <f>SUMIFS(デモトレ履歴!$P$4:$P$105,デモトレ履歴!$M$4:$M$105,"loss",デモトレ履歴!$B$4:$B$105,成績表!$A35&amp;"*")</f>
        <v>-20329</v>
      </c>
      <c r="D35" s="123">
        <f>SUMIFS(デモトレ履歴!$P$4:$P$105,デモトレ履歴!$M$4:$M$105,"drw",デモトレ履歴!$B$4:$B$105,成績表!$A35&amp;"*")</f>
        <v>0</v>
      </c>
      <c r="E35" s="123">
        <f t="shared" si="0"/>
        <v>-20329</v>
      </c>
      <c r="F35" s="124">
        <f>COUNTIF(デモトレ履歴!$B$4:$B$105,成績表!$A35&amp;"*")</f>
        <v>2</v>
      </c>
      <c r="G35" s="124">
        <f>COUNTIFS(デモトレ履歴!$M$4:$M$105,"win",デモトレ履歴!$B$4:$B$105,成績表!$A35&amp;"*")</f>
        <v>0</v>
      </c>
      <c r="H35" s="124">
        <f>COUNTIFS(デモトレ履歴!$M$4:$M$105,"loss",デモトレ履歴!$B$4:$B$105,成績表!$A35&amp;"*")</f>
        <v>2</v>
      </c>
      <c r="I35" s="124">
        <f>COUNTIFS(デモトレ履歴!$M$4:$M$105,"drw",デモトレ履歴!$B$4:$B$105,成績表!$A35&amp;"*")</f>
        <v>0</v>
      </c>
      <c r="J35" s="125">
        <f t="shared" si="5"/>
        <v>0</v>
      </c>
      <c r="K35" s="123">
        <f t="shared" si="1"/>
        <v>0</v>
      </c>
      <c r="L35" s="123">
        <f t="shared" si="2"/>
        <v>10164.5</v>
      </c>
      <c r="M35" s="138">
        <f t="shared" si="6"/>
        <v>0</v>
      </c>
      <c r="N35" s="139">
        <f t="shared" si="3"/>
        <v>0</v>
      </c>
      <c r="AD35" s="123">
        <f t="shared" si="4"/>
        <v>20329</v>
      </c>
    </row>
    <row r="36" spans="1:30">
      <c r="A36" s="126" t="s">
        <v>205</v>
      </c>
      <c r="B36" s="123">
        <f>SUMIFS(デモトレ履歴!$P$4:$P$105,デモトレ履歴!$M$4:$M$105,"win",デモトレ履歴!$B$4:$B$105,成績表!$A36&amp;"*")</f>
        <v>0</v>
      </c>
      <c r="C36" s="123">
        <f>SUMIFS(デモトレ履歴!$P$4:$P$105,デモトレ履歴!$M$4:$M$105,"loss",デモトレ履歴!$B$4:$B$105,成績表!$A36&amp;"*")</f>
        <v>-23121</v>
      </c>
      <c r="D36" s="123">
        <f>SUMIFS(デモトレ履歴!$P$4:$P$105,デモトレ履歴!$M$4:$M$105,"drw",デモトレ履歴!$B$4:$B$105,成績表!$A36&amp;"*")</f>
        <v>0</v>
      </c>
      <c r="E36" s="123">
        <f t="shared" si="0"/>
        <v>-23121</v>
      </c>
      <c r="F36" s="124">
        <f>COUNTIF(デモトレ履歴!$B$4:$B$105,成績表!$A36&amp;"*")</f>
        <v>3</v>
      </c>
      <c r="G36" s="124">
        <f>COUNTIFS(デモトレ履歴!$M$4:$M$105,"win",デモトレ履歴!$B$4:$B$105,成績表!$A36&amp;"*")</f>
        <v>0</v>
      </c>
      <c r="H36" s="124">
        <f>COUNTIFS(デモトレ履歴!$M$4:$M$105,"loss",デモトレ履歴!$B$4:$B$105,成績表!$A36&amp;"*")</f>
        <v>3</v>
      </c>
      <c r="I36" s="124">
        <f>COUNTIFS(デモトレ履歴!$M$4:$M$105,"drw",デモトレ履歴!$B$4:$B$105,成績表!$A36&amp;"*")</f>
        <v>0</v>
      </c>
      <c r="J36" s="127">
        <f t="shared" si="5"/>
        <v>0</v>
      </c>
      <c r="K36" s="128">
        <f t="shared" si="1"/>
        <v>0</v>
      </c>
      <c r="L36" s="128">
        <f t="shared" si="2"/>
        <v>7707</v>
      </c>
      <c r="M36" s="140">
        <f>IF(AND(K36&lt;&gt;0,L36&lt;&gt;0),K36/L36,0)</f>
        <v>0</v>
      </c>
      <c r="N36" s="141">
        <f t="shared" si="3"/>
        <v>0</v>
      </c>
      <c r="AD36" s="123">
        <f t="shared" si="4"/>
        <v>23121</v>
      </c>
    </row>
    <row r="37" spans="1:30">
      <c r="A37" s="129" t="s">
        <v>171</v>
      </c>
      <c r="B37" s="130">
        <f t="shared" ref="B37:I37" si="7">SUM(B9:B36)</f>
        <v>79155</v>
      </c>
      <c r="C37" s="130">
        <f t="shared" si="7"/>
        <v>-219319</v>
      </c>
      <c r="D37" s="130">
        <f t="shared" si="7"/>
        <v>-812</v>
      </c>
      <c r="E37" s="130">
        <f t="shared" si="7"/>
        <v>-140976</v>
      </c>
      <c r="F37" s="131">
        <f t="shared" si="7"/>
        <v>46</v>
      </c>
      <c r="G37" s="131">
        <f t="shared" si="7"/>
        <v>7</v>
      </c>
      <c r="H37" s="131">
        <f t="shared" si="7"/>
        <v>28</v>
      </c>
      <c r="I37" s="131">
        <f t="shared" si="7"/>
        <v>11</v>
      </c>
      <c r="J37" s="132"/>
      <c r="K37" s="214" t="s">
        <v>172</v>
      </c>
      <c r="L37" s="215"/>
      <c r="M37" s="215"/>
      <c r="N37" s="216"/>
      <c r="AD37" s="130"/>
    </row>
    <row r="38" spans="1:30" ht="36">
      <c r="A38" s="111"/>
      <c r="B38" s="133"/>
      <c r="C38" s="111"/>
      <c r="D38" s="111"/>
      <c r="E38" s="111"/>
      <c r="F38" s="111"/>
      <c r="G38" s="111"/>
      <c r="H38" s="217" t="s">
        <v>173</v>
      </c>
      <c r="I38" s="218"/>
      <c r="J38" s="134">
        <f>AVERAGE(J9:J36)</f>
        <v>0.11819727891156462</v>
      </c>
      <c r="K38" s="129" t="s">
        <v>167</v>
      </c>
      <c r="L38" s="129" t="s">
        <v>168</v>
      </c>
      <c r="M38" s="135" t="s">
        <v>174</v>
      </c>
      <c r="N38" s="135" t="s">
        <v>170</v>
      </c>
      <c r="AD38" s="111"/>
    </row>
    <row r="39" spans="1:30">
      <c r="A39" s="111"/>
      <c r="B39" s="111"/>
      <c r="C39" s="111"/>
      <c r="D39" s="111"/>
      <c r="E39" s="111"/>
      <c r="F39" s="111"/>
      <c r="G39" s="111"/>
      <c r="H39" s="218" t="s">
        <v>175</v>
      </c>
      <c r="I39" s="218"/>
      <c r="J39" s="134">
        <f>G37/F37</f>
        <v>0.15217391304347827</v>
      </c>
      <c r="K39" s="130">
        <f>AVERAGE(K9:K36)</f>
        <v>2463.0357142857142</v>
      </c>
      <c r="L39" s="130">
        <f>AVERAGE(L9:L36)</f>
        <v>3396.574404761905</v>
      </c>
      <c r="M39" s="142">
        <f>IF(AND(K39&lt;&gt;0,L39&lt;&gt;0),K39/L39,0)</f>
        <v>0.72515288074732154</v>
      </c>
      <c r="N39" s="142">
        <f>IF(AND(B37&lt;&gt;0,C37&lt;&gt;0),B37/C37,0)</f>
        <v>-0.36091264322744493</v>
      </c>
      <c r="AD39" s="111"/>
    </row>
    <row r="43" spans="1:30" ht="17.25">
      <c r="A43" s="143" t="s">
        <v>208</v>
      </c>
      <c r="B43" s="111"/>
      <c r="C43" s="111"/>
      <c r="D43" s="111"/>
      <c r="E43" s="111"/>
      <c r="F43" s="111"/>
      <c r="G43" s="111"/>
      <c r="H43" s="111"/>
      <c r="I43" s="111"/>
      <c r="J43" s="111"/>
      <c r="K43" s="111"/>
      <c r="L43" s="111"/>
      <c r="M43" s="111"/>
      <c r="N43" s="111"/>
    </row>
    <row r="44" spans="1:30">
      <c r="A44" s="111"/>
      <c r="B44" s="111"/>
      <c r="C44" s="111"/>
      <c r="D44" s="111"/>
      <c r="E44" s="111"/>
      <c r="F44" s="111"/>
      <c r="G44" s="111"/>
      <c r="H44" s="111"/>
      <c r="I44" s="111"/>
      <c r="J44" s="111"/>
      <c r="K44" s="111"/>
      <c r="L44" s="111"/>
      <c r="M44" s="111"/>
      <c r="N44" s="111"/>
    </row>
    <row r="45" spans="1:30" ht="36">
      <c r="A45" s="144" t="s">
        <v>209</v>
      </c>
      <c r="B45" s="144" t="s">
        <v>210</v>
      </c>
      <c r="C45" s="144" t="s">
        <v>211</v>
      </c>
      <c r="D45" s="144" t="s">
        <v>212</v>
      </c>
      <c r="E45" s="145" t="s">
        <v>213</v>
      </c>
      <c r="F45" s="144" t="s">
        <v>214</v>
      </c>
      <c r="G45" s="144" t="s">
        <v>215</v>
      </c>
      <c r="H45" s="144" t="s">
        <v>216</v>
      </c>
      <c r="I45" s="144" t="s">
        <v>217</v>
      </c>
      <c r="J45" s="144" t="s">
        <v>167</v>
      </c>
      <c r="K45" s="144" t="s">
        <v>168</v>
      </c>
      <c r="L45" s="145" t="s">
        <v>223</v>
      </c>
      <c r="M45" s="145" t="s">
        <v>224</v>
      </c>
      <c r="N45" s="145" t="s">
        <v>187</v>
      </c>
      <c r="O45" s="145" t="s">
        <v>218</v>
      </c>
    </row>
    <row r="46" spans="1:30">
      <c r="A46" s="146" t="e">
        <f>DATE(YEAR(C4),MONTH(C4),1)</f>
        <v>#REF!</v>
      </c>
      <c r="B46" s="111">
        <f>SUMIFS(デモトレ履歴!$P$4:$P$105,デモトレ履歴!$M$4:$M$105,"win",デモトレ履歴!$R$4:$R$105,"&lt;"&amp;A47)</f>
        <v>0</v>
      </c>
      <c r="C46" s="111">
        <f>SUMIFS(デモトレ履歴!$P$4:$P$105,デモトレ履歴!$M$4:$M$105,"loss",デモトレ履歴!$R$4:$R$105,"&lt;"&amp;A47)</f>
        <v>0</v>
      </c>
      <c r="D46" s="111">
        <f t="shared" ref="D46:D63" si="8">SUM(B46:C46)</f>
        <v>0</v>
      </c>
      <c r="E46" s="111">
        <f>COUNTIF(デモトレ履歴!$R$4:$R$105,"&lt;"&amp;A47)</f>
        <v>0</v>
      </c>
      <c r="F46" s="111">
        <f>COUNTIFS(デモトレ履歴!$M$4:$M$105,"win",デモトレ履歴!$R$4:$R$105,"&lt;"&amp;$A47)</f>
        <v>0</v>
      </c>
      <c r="G46" s="111">
        <f>COUNTIFS(デモトレ履歴!$M$4:$M$105,"loss",デモトレ履歴!$R$4:$R$105,"&lt;"&amp;$A47)</f>
        <v>0</v>
      </c>
      <c r="H46" s="111">
        <f>COUNTIFS(デモトレ履歴!$M$4:$M$105,"drw",デモトレ履歴!$R$4:$R$105,"&lt;"&amp;$A47)</f>
        <v>0</v>
      </c>
      <c r="I46" s="147" t="str">
        <f>IF(E46&lt;&gt;0,F46/E46,"")</f>
        <v/>
      </c>
      <c r="J46" s="148">
        <f t="shared" ref="J46:J63" si="9">IF(B46&lt;&gt;0,B46/F46,0)</f>
        <v>0</v>
      </c>
      <c r="K46" s="148">
        <f t="shared" ref="K46:K63" si="10">IF(C46&lt;&gt;0,C46/G46,0)</f>
        <v>0</v>
      </c>
      <c r="L46" s="111">
        <f>IF(AND(J46&lt;&gt;0,K46&lt;&gt;0),J46/K46,0)</f>
        <v>0</v>
      </c>
      <c r="M46" s="111">
        <f t="shared" ref="M46:M63" si="11">IF(AND(B46&lt;&gt;0,C46&lt;&gt;0),B46/C46,0)</f>
        <v>0</v>
      </c>
      <c r="N46" s="111">
        <f>SUMIFS(デモトレ履歴!$P$4:$P$105,デモトレ履歴!$M$4:$M$105,"drw",デモトレ履歴!$R$4:$R$105,"&lt;"&amp;A47)</f>
        <v>0</v>
      </c>
      <c r="O46" s="148">
        <f>SUM($C$2,$D46)</f>
        <v>500000</v>
      </c>
    </row>
    <row r="47" spans="1:30">
      <c r="A47" s="146" t="e">
        <f>IF(A45&lt;&gt;"",DATE(YEAR(A46),MONTH(A46)+1,1),"")</f>
        <v>#REF!</v>
      </c>
      <c r="B47" s="111">
        <f>SUMIFS(デモトレ履歴!$P$4:$P$105,デモトレ履歴!$M$4:$M$105,"win",デモトレ履歴!$R$4:$R$105,"&lt;"&amp;A48)-B46</f>
        <v>0</v>
      </c>
      <c r="C47" s="111">
        <f>SUMIFS(デモトレ履歴!$P$4:$P$105,デモトレ履歴!$M$4:$M$105,"loss",デモトレ履歴!$R$4:$R$105,"&lt;"&amp;A48)-C46</f>
        <v>0</v>
      </c>
      <c r="D47" s="111">
        <f t="shared" si="8"/>
        <v>0</v>
      </c>
      <c r="E47" s="111" t="e">
        <f>IF(A47&lt;&gt;"",COUNTIF(デモトレ履歴!$R$4:$R$105,"&lt;"&amp;IF(A48&lt;&gt;"",A48,DATE(YEAR(A47),MONTH(A47),DAY(EOMONTH(A47,0)))))-SUM($E$46:$E46),0)</f>
        <v>#REF!</v>
      </c>
      <c r="F47" s="111">
        <f>COUNTIFS(デモトレ履歴!$M$4:$M$105,"win",デモトレ履歴!$R$4:$R$105,"&lt;"&amp;$A48)-F46</f>
        <v>0</v>
      </c>
      <c r="G47" s="111">
        <f>COUNTIFS(デモトレ履歴!$M$4:$M$105,"loss",デモトレ履歴!$R$4:$R$105,"&lt;"&amp;$A48)-G46</f>
        <v>0</v>
      </c>
      <c r="H47" s="111">
        <f>COUNTIFS(デモトレ履歴!$M$4:$M$105,"drw",デモトレ履歴!$R$4:$R$105,"&lt;"&amp;$A48)-H46</f>
        <v>0</v>
      </c>
      <c r="I47" s="147" t="e">
        <f>IF(E47&lt;&gt;0,F47/E47,0)</f>
        <v>#REF!</v>
      </c>
      <c r="J47" s="148">
        <f t="shared" si="9"/>
        <v>0</v>
      </c>
      <c r="K47" s="148">
        <f t="shared" si="10"/>
        <v>0</v>
      </c>
      <c r="L47" s="111">
        <f>IF(AND(J47&lt;&gt;0,K47&lt;&gt;0),J47/K47,0)</f>
        <v>0</v>
      </c>
      <c r="M47" s="111">
        <f t="shared" si="11"/>
        <v>0</v>
      </c>
      <c r="N47" s="111">
        <f>SUMIFS(デモトレ履歴!$P$4:$P$105,デモトレ履歴!$M$4:$M$105,"drw",デモトレ履歴!$R$4:$R$105,"&lt;"&amp;A48)-N46</f>
        <v>0</v>
      </c>
      <c r="O47" s="148">
        <f t="shared" ref="O47:O63" si="12">SUM(O46,$D47)</f>
        <v>500000</v>
      </c>
    </row>
    <row r="48" spans="1:30">
      <c r="A48" s="146" t="e">
        <f t="shared" ref="A48:A63" si="13">IF(A46&lt;&gt;"",DATE(YEAR(A47),MONTH(A47)+1,1),"")</f>
        <v>#REF!</v>
      </c>
      <c r="B48" s="111" t="e">
        <f>IF(E48&gt;0,SUMIFS(デモトレ履歴!$P$4:$P$105,デモトレ履歴!$M$4:$M$105,"win",デモトレ履歴!$R$4:$R105,"&lt;"&amp;IF(A49&lt;&gt;"",A49,DATE(YEAR(A48),MONTH(A48),DAY(EOMONTH(A48,0)))))-SUM($B$44:$B47),0)</f>
        <v>#REF!</v>
      </c>
      <c r="C48" s="111" t="e">
        <f>IF(E48&gt;0,SUMIFS(デモトレ履歴!$P$4:$P$105,デモトレ履歴!$M$4:$M$105,"loss",デモトレ履歴!$R$4:$R$105,"&lt;"&amp;IF(A49&lt;&gt;"",A49,DATE(YEAR(A48),MONTH(A48),DAY(EOMONTH(A48,0)))))-SUM($C$46:$C47),0)</f>
        <v>#REF!</v>
      </c>
      <c r="D48" s="111" t="e">
        <f t="shared" si="8"/>
        <v>#REF!</v>
      </c>
      <c r="E48" s="111" t="e">
        <f>IF(A48&lt;&gt;"",COUNTIF(デモトレ履歴!$R$4:$R$105,"&lt;"&amp;IF(A49&lt;&gt;"",A49,DATE(YEAR(A48),MONTH(A48),DAY(EOMONTH(A48,0)))))-SUM($E$46:$E47),0)</f>
        <v>#REF!</v>
      </c>
      <c r="F48" s="111" t="e">
        <f>IF(A49&lt;&gt;"",COUNTIFS(デモトレ履歴!$M$4:$M$105,"win",デモトレ履歴!$R$4:$R$105,"&lt;"&amp;IF(A49&lt;&gt;"",A49,DATE(YEAR(A48),MONTH(A48),DAY(EOMONTH(A48,0)))))-SUM($F$46:$F47),0)</f>
        <v>#REF!</v>
      </c>
      <c r="G48" s="111" t="e">
        <f>IF(A49&lt;&gt;"",COUNTIFS(デモトレ履歴!$M$4:$M$105,"loss",デモトレ履歴!$R$4:$R$105,"&lt;"&amp;IF(A49&lt;&gt;"",A49,DATE(YEAR(A48),MONTH(A48),DAY(EOMONTH(A48,0)))))-SUM($G$46:$G47),0)</f>
        <v>#REF!</v>
      </c>
      <c r="H48" s="111">
        <f>COUNTIFS(デモトレ履歴!$M$4:$M$105,"drw",デモトレ履歴!$R$4:$R$105,"&lt;"&amp;IF(A49&lt;&gt;"",A49,DATE(YEAR(A48),MONTH(A48),DAY(EOMONTH(A48,0)))))-SUM($H$46:$H47)</f>
        <v>0</v>
      </c>
      <c r="I48" s="147" t="e">
        <f t="shared" ref="I48:I63" si="14">IF(E48&lt;&gt;0,F48/E48,0)</f>
        <v>#REF!</v>
      </c>
      <c r="J48" s="148" t="e">
        <f t="shared" si="9"/>
        <v>#REF!</v>
      </c>
      <c r="K48" s="148" t="e">
        <f t="shared" si="10"/>
        <v>#REF!</v>
      </c>
      <c r="L48" s="111" t="e">
        <f t="shared" ref="L48:L63" si="15">IF(AND(J48&lt;&gt;0,K48&lt;&gt;0),J48/K48,0)</f>
        <v>#REF!</v>
      </c>
      <c r="M48" s="111" t="e">
        <f t="shared" si="11"/>
        <v>#REF!</v>
      </c>
      <c r="N48" s="111" t="e">
        <f>IF(E48&gt;0,SUMIFS(デモトレ履歴!$P$4:$P$105,デモトレ履歴!$M$4:$M$105,"drw",デモトレ履歴!$R$4:$R$105,"&lt;"&amp;IF(A49&lt;&gt;"",A49,DATE(YEAR(A48),MONTH(A48),DAY(EOMONTH(A48,0)))))-SUM($N$46:$N47),0)</f>
        <v>#REF!</v>
      </c>
      <c r="O48" s="148" t="e">
        <f t="shared" si="12"/>
        <v>#REF!</v>
      </c>
    </row>
    <row r="49" spans="1:15">
      <c r="A49" s="146" t="e">
        <f t="shared" si="13"/>
        <v>#REF!</v>
      </c>
      <c r="B49" s="111" t="e">
        <f>IF(E49&gt;0,SUMIFS(デモトレ履歴!$P$4:$P$105,デモトレ履歴!$M$4:$M$105,"win",デモトレ履歴!$R$4:$R105,"&lt;"&amp;IF(A50&lt;&gt;"",A50,DATE(YEAR(A49),MONTH(A49),DAY(EOMONTH(A49,0)))))-SUM($B$44:$B48),0)</f>
        <v>#REF!</v>
      </c>
      <c r="C49" s="111" t="e">
        <f>IF(E49&gt;0,SUMIFS(デモトレ履歴!$P$4:$P$105,デモトレ履歴!$M$4:$M$105,"loss",デモトレ履歴!$R$4:$R$105,"&lt;"&amp;IF(A50&lt;&gt;"",A50,DATE(YEAR(A49),MONTH(A49),DAY(EOMONTH(A49,0)))))-SUM($C$46:$C48),0)</f>
        <v>#REF!</v>
      </c>
      <c r="D49" s="111" t="e">
        <f t="shared" si="8"/>
        <v>#REF!</v>
      </c>
      <c r="E49" s="111" t="e">
        <f>IF(A49&lt;&gt;"",COUNTIF(デモトレ履歴!$R$4:$R$105,"&lt;"&amp;IF(A50&lt;&gt;"",A50,DATE(YEAR(A49),MONTH(A49),DAY(EOMONTH(A49,0)))))-SUM($E$46:$E48),0)</f>
        <v>#REF!</v>
      </c>
      <c r="F49" s="111" t="e">
        <f>IF(A50&lt;&gt;"",COUNTIFS(デモトレ履歴!$M$4:$M$105,"win",デモトレ履歴!$R$4:$R$105,"&lt;"&amp;IF(A50&lt;&gt;"",A50,DATE(YEAR(A49),MONTH(A49),DAY(EOMONTH(A49,0)))))-SUM($F$46:$F48),0)</f>
        <v>#REF!</v>
      </c>
      <c r="G49" s="111" t="e">
        <f>IF(A50&lt;&gt;"",COUNTIFS(デモトレ履歴!$M$4:$M$105,"loss",デモトレ履歴!$R$4:$R$105,"&lt;"&amp;IF(A50&lt;&gt;"",A50,DATE(YEAR(A49),MONTH(A49),DAY(EOMONTH(A49,0)))))-SUM($G$46:$G48),0)</f>
        <v>#REF!</v>
      </c>
      <c r="H49" s="111">
        <f>COUNTIFS(デモトレ履歴!$M$4:$M$105,"drw",デモトレ履歴!$R$4:$R$105,"&lt;"&amp;IF(A50&lt;&gt;"",A50,DATE(YEAR(A49),MONTH(A49),DAY(EOMONTH(A49,0)))))-SUM($H$46:$H48)</f>
        <v>0</v>
      </c>
      <c r="I49" s="147" t="e">
        <f t="shared" si="14"/>
        <v>#REF!</v>
      </c>
      <c r="J49" s="148" t="e">
        <f t="shared" si="9"/>
        <v>#REF!</v>
      </c>
      <c r="K49" s="148" t="e">
        <f t="shared" si="10"/>
        <v>#REF!</v>
      </c>
      <c r="L49" s="111" t="e">
        <f t="shared" si="15"/>
        <v>#REF!</v>
      </c>
      <c r="M49" s="111" t="e">
        <f t="shared" si="11"/>
        <v>#REF!</v>
      </c>
      <c r="N49" s="111" t="e">
        <f>IF(E49&gt;0,SUMIFS(デモトレ履歴!$P$4:$P$105,デモトレ履歴!$M$4:$M$105,"drw",デモトレ履歴!$R$4:$R$105,"&lt;"&amp;IF(A50&lt;&gt;"",A50,DATE(YEAR(A49),MONTH(A49),DAY(EOMONTH(A49,0)))))-SUM($C$46:$C48),0)</f>
        <v>#REF!</v>
      </c>
      <c r="O49" s="148" t="e">
        <f t="shared" si="12"/>
        <v>#REF!</v>
      </c>
    </row>
    <row r="50" spans="1:15">
      <c r="A50" s="146" t="e">
        <f t="shared" si="13"/>
        <v>#REF!</v>
      </c>
      <c r="B50" s="111" t="e">
        <f>IF(E50&gt;0,SUMIFS(デモトレ履歴!$P$4:$P$105,デモトレ履歴!$M$4:$M$105,"win",デモトレ履歴!$R$4:$R105,"&lt;"&amp;IF(A51&lt;&gt;"",A51,DATE(YEAR(A50),MONTH(A50),DAY(EOMONTH(A50,0)))))-SUM($B$44:$B49),0)</f>
        <v>#REF!</v>
      </c>
      <c r="C50" s="111" t="e">
        <f>IF(E50&gt;0,SUMIFS(デモトレ履歴!$P$4:$P$105,デモトレ履歴!$M$4:$M$105,"loss",デモトレ履歴!$R$4:$R$105,"&lt;"&amp;IF(A51&lt;&gt;"",A51,DATE(YEAR(A50),MONTH(A50),DAY(EOMONTH(A50,0)))))-SUM($C$46:$C49),0)</f>
        <v>#REF!</v>
      </c>
      <c r="D50" s="111" t="e">
        <f t="shared" si="8"/>
        <v>#REF!</v>
      </c>
      <c r="E50" s="111" t="e">
        <f>IF(A50&lt;&gt;"",COUNTIF(デモトレ履歴!$R$4:$R$105,"&lt;"&amp;IF(A51&lt;&gt;"",A51,DATE(YEAR(A50),MONTH(A50),DAY(EOMONTH(A50,0)))))-SUM($E$46:$E49),0)</f>
        <v>#REF!</v>
      </c>
      <c r="F50" s="111" t="e">
        <f>IF(A51&lt;&gt;"",COUNTIFS(デモトレ履歴!$M$4:$M$105,"win",デモトレ履歴!$R$4:$R$105,"&lt;"&amp;IF(A51&lt;&gt;"",A51,DATE(YEAR(A50),MONTH(A50),DAY(EOMONTH(A50,0)))))-SUM($F$46:$F49),0)</f>
        <v>#REF!</v>
      </c>
      <c r="G50" s="111" t="e">
        <f>IF(A51&lt;&gt;"",COUNTIFS(デモトレ履歴!$M$4:$M$105,"loss",デモトレ履歴!$R$4:$R$105,"&lt;"&amp;IF(A51&lt;&gt;"",A51,DATE(YEAR(A50),MONTH(A50),DAY(EOMONTH(A50,0)))))-SUM($G$46:$G49),0)</f>
        <v>#REF!</v>
      </c>
      <c r="H50" s="111">
        <f>COUNTIFS(デモトレ履歴!$M$4:$M$105,"drw",デモトレ履歴!$R$4:$R$105,"&lt;"&amp;IF(A51&lt;&gt;"",A51,DATE(YEAR(A50),MONTH(A50),DAY(EOMONTH(A50,0)))))-SUM($H$46:$H49)</f>
        <v>0</v>
      </c>
      <c r="I50" s="147" t="e">
        <f t="shared" si="14"/>
        <v>#REF!</v>
      </c>
      <c r="J50" s="148" t="e">
        <f t="shared" si="9"/>
        <v>#REF!</v>
      </c>
      <c r="K50" s="148" t="e">
        <f t="shared" si="10"/>
        <v>#REF!</v>
      </c>
      <c r="L50" s="111" t="e">
        <f t="shared" si="15"/>
        <v>#REF!</v>
      </c>
      <c r="M50" s="111" t="e">
        <f t="shared" si="11"/>
        <v>#REF!</v>
      </c>
      <c r="N50" s="111" t="e">
        <f>IF(E50&gt;0,SUMIFS(デモトレ履歴!$P$4:$P$105,デモトレ履歴!$M$4:$M$105,"drw",デモトレ履歴!$R$4:$R$105,"&lt;"&amp;IF(A51&lt;&gt;"",A51,DATE(YEAR(A50),MONTH(A50),DAY(EOMONTH(A50,0)))))-SUM($C$46:$C49),0)</f>
        <v>#REF!</v>
      </c>
      <c r="O50" s="148" t="e">
        <f t="shared" si="12"/>
        <v>#REF!</v>
      </c>
    </row>
    <row r="51" spans="1:15">
      <c r="A51" s="146" t="e">
        <f t="shared" si="13"/>
        <v>#REF!</v>
      </c>
      <c r="B51" s="111" t="e">
        <f>IF(E51&gt;0,SUMIFS(デモトレ履歴!$P$4:$P$105,デモトレ履歴!$M$4:$M$105,"win",デモトレ履歴!$R$4:$R105,"&lt;"&amp;IF(A52&lt;&gt;"",A52,DATE(YEAR(A51),MONTH(A51),DAY(EOMONTH(A51,0)))))-SUM($B$44:$B50),0)</f>
        <v>#REF!</v>
      </c>
      <c r="C51" s="111" t="e">
        <f>IF(E51&gt;0,SUMIFS(デモトレ履歴!$P$4:$P$105,デモトレ履歴!$M$4:$M$105,"loss",デモトレ履歴!$R$4:$R$105,"&lt;"&amp;IF(A52&lt;&gt;"",A52,DATE(YEAR(A51),MONTH(A51),DAY(EOMONTH(A51,0)))))-SUM($C$46:$C50),0)</f>
        <v>#REF!</v>
      </c>
      <c r="D51" s="111" t="e">
        <f t="shared" si="8"/>
        <v>#REF!</v>
      </c>
      <c r="E51" s="111" t="e">
        <f>IF(A51&lt;&gt;"",COUNTIF(デモトレ履歴!$R$4:$R$105,"&lt;"&amp;IF(A52&lt;&gt;"",A52,DATE(YEAR(A51),MONTH(A51),DAY(EOMONTH(A51,0)))))-SUM($E$46:$E50),0)</f>
        <v>#REF!</v>
      </c>
      <c r="F51" s="111" t="e">
        <f>IF(A52&lt;&gt;"",COUNTIFS(デモトレ履歴!$M$4:$M$105,"win",デモトレ履歴!$R$4:$R$105,"&lt;"&amp;IF(A52&lt;&gt;"",A52,DATE(YEAR(A51),MONTH(A51),DAY(EOMONTH(A51,0)))))-SUM($F$46:$F50),0)</f>
        <v>#REF!</v>
      </c>
      <c r="G51" s="111" t="e">
        <f>IF(A52&lt;&gt;"",COUNTIFS(デモトレ履歴!$M$4:$M$105,"loss",デモトレ履歴!$R$4:$R$105,"&lt;"&amp;IF(A52&lt;&gt;"",A52,DATE(YEAR(A51),MONTH(A51),DAY(EOMONTH(A51,0)))))-SUM($G$46:$G50),0)</f>
        <v>#REF!</v>
      </c>
      <c r="H51" s="111">
        <f>COUNTIFS(デモトレ履歴!$M$4:$M$105,"drw",デモトレ履歴!$R$4:$R$105,"&lt;"&amp;IF(A52&lt;&gt;"",A52,DATE(YEAR(A51),MONTH(A51),DAY(EOMONTH(A51,0)))))-SUM($H$46:$H50)</f>
        <v>0</v>
      </c>
      <c r="I51" s="147" t="e">
        <f t="shared" si="14"/>
        <v>#REF!</v>
      </c>
      <c r="J51" s="148" t="e">
        <f t="shared" si="9"/>
        <v>#REF!</v>
      </c>
      <c r="K51" s="148" t="e">
        <f t="shared" si="10"/>
        <v>#REF!</v>
      </c>
      <c r="L51" s="111" t="e">
        <f t="shared" si="15"/>
        <v>#REF!</v>
      </c>
      <c r="M51" s="111" t="e">
        <f t="shared" si="11"/>
        <v>#REF!</v>
      </c>
      <c r="N51" s="111" t="e">
        <f>IF(E51&gt;0,SUMIFS(デモトレ履歴!$P$4:$P$105,デモトレ履歴!$M$4:$M$105,"drw",デモトレ履歴!$R$4:$R$105,"&lt;"&amp;IF(A52&lt;&gt;"",A52,DATE(YEAR(A51),MONTH(A51),DAY(EOMONTH(A51,0)))))-SUM($C$46:$C50),0)</f>
        <v>#REF!</v>
      </c>
      <c r="O51" s="148" t="e">
        <f t="shared" si="12"/>
        <v>#REF!</v>
      </c>
    </row>
    <row r="52" spans="1:15">
      <c r="A52" s="146" t="e">
        <f t="shared" si="13"/>
        <v>#REF!</v>
      </c>
      <c r="B52" s="111" t="e">
        <f>IF(E52&gt;0,SUMIFS(デモトレ履歴!$P$4:$P$105,デモトレ履歴!$M$4:$M$105,"win",デモトレ履歴!$R$4:$R106,"&lt;"&amp;IF(A53&lt;&gt;"",A53,DATE(YEAR(A52),MONTH(A52),DAY(EOMONTH(A52,0)))))-SUM($B$44:$B51),0)</f>
        <v>#REF!</v>
      </c>
      <c r="C52" s="111" t="e">
        <f>IF(E52&gt;0,SUMIFS(デモトレ履歴!$P$4:$P$105,デモトレ履歴!$M$4:$M$105,"loss",デモトレ履歴!$R$4:$R$105,"&lt;"&amp;IF(A53&lt;&gt;"",A53,DATE(YEAR(A52),MONTH(A52),DAY(EOMONTH(A52,0)))))-SUM($C$46:$C51),0)</f>
        <v>#REF!</v>
      </c>
      <c r="D52" s="111" t="e">
        <f t="shared" si="8"/>
        <v>#REF!</v>
      </c>
      <c r="E52" s="111" t="e">
        <f>IF(A52&lt;&gt;"",COUNTIF(デモトレ履歴!$R$4:$R$105,"&lt;"&amp;IF(A53&lt;&gt;"",A53,DATE(YEAR(A52),MONTH(A52),DAY(EOMONTH(A52,0)))))-SUM($E$46:$E51),0)</f>
        <v>#REF!</v>
      </c>
      <c r="F52" s="111" t="e">
        <f>IF(A53&lt;&gt;"",COUNTIFS(デモトレ履歴!$M$4:$M$105,"win",デモトレ履歴!$R$4:$R$105,"&lt;"&amp;IF(A53&lt;&gt;"",A53,DATE(YEAR(A52),MONTH(A52),DAY(EOMONTH(A52,0)))))-SUM($F$46:$F51),0)</f>
        <v>#REF!</v>
      </c>
      <c r="G52" s="111" t="e">
        <f>IF(A53&lt;&gt;"",COUNTIFS(デモトレ履歴!$M$4:$M$105,"loss",デモトレ履歴!$R$4:$R$105,"&lt;"&amp;IF(A53&lt;&gt;"",A53,DATE(YEAR(A52),MONTH(A52),DAY(EOMONTH(A52,0)))))-SUM($G$46:$G51),0)</f>
        <v>#REF!</v>
      </c>
      <c r="H52" s="111">
        <f>COUNTIFS(デモトレ履歴!$M$4:$M$105,"drw",デモトレ履歴!$R$4:$R$105,"&lt;"&amp;IF(A53&lt;&gt;"",A53,DATE(YEAR(A52),MONTH(A52),DAY(EOMONTH(A52,0)))))-SUM($H$46:$H51)</f>
        <v>0</v>
      </c>
      <c r="I52" s="147" t="e">
        <f t="shared" si="14"/>
        <v>#REF!</v>
      </c>
      <c r="J52" s="148" t="e">
        <f t="shared" si="9"/>
        <v>#REF!</v>
      </c>
      <c r="K52" s="148" t="e">
        <f t="shared" si="10"/>
        <v>#REF!</v>
      </c>
      <c r="L52" s="111" t="e">
        <f t="shared" si="15"/>
        <v>#REF!</v>
      </c>
      <c r="M52" s="111" t="e">
        <f t="shared" si="11"/>
        <v>#REF!</v>
      </c>
      <c r="N52" s="111" t="e">
        <f>IF(E52&gt;0,SUMIFS(デモトレ履歴!$P$4:$P$105,デモトレ履歴!$M$4:$M$105,"drw",デモトレ履歴!$R$4:$R$105,"&lt;"&amp;IF(A53&lt;&gt;"",A53,DATE(YEAR(A52),MONTH(A52),DAY(EOMONTH(A52,0)))))-SUM($C$46:$C51),0)</f>
        <v>#REF!</v>
      </c>
      <c r="O52" s="148" t="e">
        <f t="shared" si="12"/>
        <v>#REF!</v>
      </c>
    </row>
    <row r="53" spans="1:15">
      <c r="A53" s="146" t="e">
        <f t="shared" si="13"/>
        <v>#REF!</v>
      </c>
      <c r="B53" s="111" t="e">
        <f>IF(E53&gt;0,SUMIFS(デモトレ履歴!$P$4:$P$105,デモトレ履歴!$M$4:$M$105,"win",デモトレ履歴!$R$4:$R107,"&lt;"&amp;IF(A54&lt;&gt;"",A54,DATE(YEAR(A53),MONTH(A53),DAY(EOMONTH(A53,0)))))-SUM($B$44:$B52),0)</f>
        <v>#REF!</v>
      </c>
      <c r="C53" s="111" t="e">
        <f>IF(E53&gt;0,SUMIFS(デモトレ履歴!$P$4:$P$105,デモトレ履歴!$M$4:$M$105,"loss",デモトレ履歴!$R$4:$R$105,"&lt;"&amp;IF(A54&lt;&gt;"",A54,DATE(YEAR(A53),MONTH(A53),DAY(EOMONTH(A53,0)))))-SUM($C$46:$C52),0)</f>
        <v>#REF!</v>
      </c>
      <c r="D53" s="111" t="e">
        <f t="shared" si="8"/>
        <v>#REF!</v>
      </c>
      <c r="E53" s="111" t="e">
        <f>IF(A53&lt;&gt;"",COUNTIF(デモトレ履歴!$R$4:$R$105,"&lt;"&amp;IF(A54&lt;&gt;"",A54,DATE(YEAR(A53),MONTH(A53),DAY(EOMONTH(A53,0)))))-SUM($E$46:$E52),0)</f>
        <v>#REF!</v>
      </c>
      <c r="F53" s="111" t="e">
        <f>IF(A54&lt;&gt;"",COUNTIFS(デモトレ履歴!$M$4:$M$105,"win",デモトレ履歴!$R$4:$R$105,"&lt;"&amp;IF(A54&lt;&gt;"",A54,DATE(YEAR(A53),MONTH(A53),DAY(EOMONTH(A53,0)))))-SUM($F$46:$F52),0)</f>
        <v>#REF!</v>
      </c>
      <c r="G53" s="111" t="e">
        <f>IF(A54&lt;&gt;"",COUNTIFS(デモトレ履歴!$M$4:$M$105,"loss",デモトレ履歴!$R$4:$R$105,"&lt;"&amp;IF(A54&lt;&gt;"",A54,DATE(YEAR(A53),MONTH(A53),DAY(EOMONTH(A53,0)))))-SUM($G$46:$G52),0)</f>
        <v>#REF!</v>
      </c>
      <c r="H53" s="111">
        <f>COUNTIFS(デモトレ履歴!$M$4:$M$105,"drw",デモトレ履歴!$R$4:$R$105,"&lt;"&amp;IF(A54&lt;&gt;"",A54,DATE(YEAR(A53),MONTH(A53),DAY(EOMONTH(A53,0)))))-SUM($H$46:$H52)</f>
        <v>0</v>
      </c>
      <c r="I53" s="147" t="e">
        <f t="shared" si="14"/>
        <v>#REF!</v>
      </c>
      <c r="J53" s="148" t="e">
        <f t="shared" si="9"/>
        <v>#REF!</v>
      </c>
      <c r="K53" s="148" t="e">
        <f t="shared" si="10"/>
        <v>#REF!</v>
      </c>
      <c r="L53" s="111" t="e">
        <f t="shared" si="15"/>
        <v>#REF!</v>
      </c>
      <c r="M53" s="111" t="e">
        <f t="shared" si="11"/>
        <v>#REF!</v>
      </c>
      <c r="N53" s="111" t="e">
        <f>IF(E53&gt;0,SUMIFS(デモトレ履歴!$P$4:$P$105,デモトレ履歴!$M$4:$M$105,"drw",デモトレ履歴!$R$4:$R$105,"&lt;"&amp;IF(A54&lt;&gt;"",A54,DATE(YEAR(A53),MONTH(A53),DAY(EOMONTH(A53,0)))))-SUM($C$46:$C52),0)</f>
        <v>#REF!</v>
      </c>
      <c r="O53" s="148" t="e">
        <f t="shared" si="12"/>
        <v>#REF!</v>
      </c>
    </row>
    <row r="54" spans="1:15">
      <c r="A54" s="146" t="e">
        <f t="shared" si="13"/>
        <v>#REF!</v>
      </c>
      <c r="B54" s="111" t="e">
        <f>IF(E54&gt;0,SUMIFS(デモトレ履歴!$P$4:$P$105,デモトレ履歴!$M$4:$M$105,"win",デモトレ履歴!$R$4:$R108,"&lt;"&amp;IF(A55&lt;&gt;"",A55,DATE(YEAR(A54),MONTH(A54),DAY(EOMONTH(A54,0)))))-SUM($B$44:$B53),0)</f>
        <v>#REF!</v>
      </c>
      <c r="C54" s="111" t="e">
        <f>IF(E54&gt;0,SUMIFS(デモトレ履歴!$P$4:$P$105,デモトレ履歴!$M$4:$M$105,"loss",デモトレ履歴!$R$4:$R$105,"&lt;"&amp;IF(A55&lt;&gt;"",A55,DATE(YEAR(A54),MONTH(A54),DAY(EOMONTH(A54,0)))))-SUM($C$46:$C53),0)</f>
        <v>#REF!</v>
      </c>
      <c r="D54" s="111" t="e">
        <f t="shared" si="8"/>
        <v>#REF!</v>
      </c>
      <c r="E54" s="111" t="e">
        <f>IF(A54&lt;&gt;"",COUNTIF(デモトレ履歴!$R$4:$R$105,"&lt;"&amp;IF(A55&lt;&gt;"",A55,DATE(YEAR(A54),MONTH(A54),DAY(EOMONTH(A54,0)))))-SUM($E$46:$E53),0)</f>
        <v>#REF!</v>
      </c>
      <c r="F54" s="111" t="e">
        <f>IF(A55&lt;&gt;"",COUNTIFS(デモトレ履歴!$M$4:$M$105,"win",デモトレ履歴!$R$4:$R$105,"&lt;"&amp;IF(A55&lt;&gt;"",A55,DATE(YEAR(A54),MONTH(A54),DAY(EOMONTH(A54,0)))))-SUM($F$46:$F53),0)</f>
        <v>#REF!</v>
      </c>
      <c r="G54" s="111" t="e">
        <f>IF(A55&lt;&gt;"",COUNTIFS(デモトレ履歴!$M$4:$M$105,"loss",デモトレ履歴!$R$4:$R$105,"&lt;"&amp;IF(A55&lt;&gt;"",A55,DATE(YEAR(A54),MONTH(A54),DAY(EOMONTH(A54,0)))))-SUM($G$46:$G53),0)</f>
        <v>#REF!</v>
      </c>
      <c r="H54" s="111">
        <f>COUNTIFS(デモトレ履歴!$M$4:$M$105,"drw",デモトレ履歴!$R$4:$R$105,"&lt;"&amp;IF(A55&lt;&gt;"",A55,DATE(YEAR(A54),MONTH(A54),DAY(EOMONTH(A54,0)))))-SUM($H$46:$H53)</f>
        <v>0</v>
      </c>
      <c r="I54" s="147" t="e">
        <f t="shared" si="14"/>
        <v>#REF!</v>
      </c>
      <c r="J54" s="148" t="e">
        <f t="shared" si="9"/>
        <v>#REF!</v>
      </c>
      <c r="K54" s="148" t="e">
        <f t="shared" si="10"/>
        <v>#REF!</v>
      </c>
      <c r="L54" s="111" t="e">
        <f t="shared" si="15"/>
        <v>#REF!</v>
      </c>
      <c r="M54" s="111" t="e">
        <f t="shared" si="11"/>
        <v>#REF!</v>
      </c>
      <c r="N54" s="111" t="e">
        <f>IF(E54&gt;0,SUMIFS(デモトレ履歴!$P$4:$P$105,デモトレ履歴!$M$4:$M$105,"drw",デモトレ履歴!$R$4:$R$105,"&lt;"&amp;IF(A55&lt;&gt;"",A55,DATE(YEAR(A54),MONTH(A54),DAY(EOMONTH(A54,0)))))-SUM($C$46:$C53),0)</f>
        <v>#REF!</v>
      </c>
      <c r="O54" s="148" t="e">
        <f t="shared" si="12"/>
        <v>#REF!</v>
      </c>
    </row>
    <row r="55" spans="1:15">
      <c r="A55" s="146" t="e">
        <f t="shared" si="13"/>
        <v>#REF!</v>
      </c>
      <c r="B55" s="111" t="e">
        <f>IF(E55&gt;0,SUMIFS(デモトレ履歴!$P$4:$P$105,デモトレ履歴!$M$4:$M$105,"win",デモトレ履歴!$R$4:$R109,"&lt;"&amp;IF(A56&lt;&gt;"",A56,DATE(YEAR(A55),MONTH(A55),DAY(EOMONTH(A55,0)))))-SUM($B$44:$B54),0)</f>
        <v>#REF!</v>
      </c>
      <c r="C55" s="111" t="e">
        <f>IF(E55&gt;0,SUMIFS(デモトレ履歴!$P$4:$P$105,デモトレ履歴!$M$4:$M$105,"loss",デモトレ履歴!$R$4:$R$105,"&lt;"&amp;IF(A56&lt;&gt;"",A56,DATE(YEAR(A55),MONTH(A55),DAY(EOMONTH(A55,0)))))-SUM($C$46:$C54),0)</f>
        <v>#REF!</v>
      </c>
      <c r="D55" s="111" t="e">
        <f t="shared" si="8"/>
        <v>#REF!</v>
      </c>
      <c r="E55" s="111" t="e">
        <f>IF(A55&lt;&gt;"",COUNTIF(デモトレ履歴!$R$4:$R$105,"&lt;"&amp;IF(A56&lt;&gt;"",A56,DATE(YEAR(A55),MONTH(A55),DAY(EOMONTH(A55,0)))))-SUM($E$46:$E54),0)</f>
        <v>#REF!</v>
      </c>
      <c r="F55" s="111" t="e">
        <f>IF(A56&lt;&gt;"",COUNTIFS(デモトレ履歴!$M$4:$M$105,"win",デモトレ履歴!$R$4:$R$105,"&lt;"&amp;IF(A56&lt;&gt;"",A56,DATE(YEAR(A55),MONTH(A55),DAY(EOMONTH(A55,0)))))-SUM($F$46:$F54),0)</f>
        <v>#REF!</v>
      </c>
      <c r="G55" s="111" t="e">
        <f>IF(A56&lt;&gt;"",COUNTIFS(デモトレ履歴!$M$4:$M$105,"loss",デモトレ履歴!$R$4:$R$105,"&lt;"&amp;IF(A56&lt;&gt;"",A56,DATE(YEAR(A55),MONTH(A55),DAY(EOMONTH(A55,0)))))-SUM($G$46:$G54),0)</f>
        <v>#REF!</v>
      </c>
      <c r="H55" s="111">
        <f>COUNTIFS(デモトレ履歴!$M$4:$M$105,"drw",デモトレ履歴!$R$4:$R$105,"&lt;"&amp;IF(A56&lt;&gt;"",A56,DATE(YEAR(A55),MONTH(A55),DAY(EOMONTH(A55,0)))))-SUM($H$46:$H54)</f>
        <v>0</v>
      </c>
      <c r="I55" s="147" t="e">
        <f t="shared" si="14"/>
        <v>#REF!</v>
      </c>
      <c r="J55" s="148" t="e">
        <f t="shared" si="9"/>
        <v>#REF!</v>
      </c>
      <c r="K55" s="148" t="e">
        <f t="shared" si="10"/>
        <v>#REF!</v>
      </c>
      <c r="L55" s="111" t="e">
        <f t="shared" si="15"/>
        <v>#REF!</v>
      </c>
      <c r="M55" s="111" t="e">
        <f t="shared" si="11"/>
        <v>#REF!</v>
      </c>
      <c r="N55" s="111" t="e">
        <f>IF(E55&gt;0,SUMIFS(デモトレ履歴!$P$4:$P$105,デモトレ履歴!$M$4:$M$105,"drw",デモトレ履歴!$R$4:$R$105,"&lt;"&amp;IF(A56&lt;&gt;"",A56,DATE(YEAR(A55),MONTH(A55),DAY(EOMONTH(A55,0)))))-SUM($C$46:$C54),0)</f>
        <v>#REF!</v>
      </c>
      <c r="O55" s="148" t="e">
        <f t="shared" si="12"/>
        <v>#REF!</v>
      </c>
    </row>
    <row r="56" spans="1:15">
      <c r="A56" s="146" t="e">
        <f t="shared" si="13"/>
        <v>#REF!</v>
      </c>
      <c r="B56" s="111" t="e">
        <f>IF(E56&gt;0,SUMIFS(デモトレ履歴!$P$4:$P$105,デモトレ履歴!$M$4:$M$105,"win",デモトレ履歴!$R$4:$R110,"&lt;"&amp;IF(A57&lt;&gt;"",A57,DATE(YEAR(A56),MONTH(A56),DAY(EOMONTH(A56,0)))))-SUM($B$44:$B55),0)</f>
        <v>#REF!</v>
      </c>
      <c r="C56" s="111" t="e">
        <f>IF(E56&gt;0,SUMIFS(デモトレ履歴!$P$4:$P$105,デモトレ履歴!$M$4:$M$105,"loss",デモトレ履歴!$R$4:$R$105,"&lt;"&amp;IF(A57&lt;&gt;"",A57,DATE(YEAR(A56),MONTH(A56),DAY(EOMONTH(A56,0)))))-SUM($C$46:$C55),0)</f>
        <v>#REF!</v>
      </c>
      <c r="D56" s="111" t="e">
        <f t="shared" si="8"/>
        <v>#REF!</v>
      </c>
      <c r="E56" s="111" t="e">
        <f>IF(A56&lt;&gt;"",COUNTIF(デモトレ履歴!$R$4:$R$105,"&lt;"&amp;IF(A57&lt;&gt;"",A57,DATE(YEAR(A56),MONTH(A56),DAY(EOMONTH(A56,0)))))-SUM($E$46:$E55),0)</f>
        <v>#REF!</v>
      </c>
      <c r="F56" s="111" t="e">
        <f>IF(A57&lt;&gt;"",COUNTIFS(デモトレ履歴!$M$4:$M$105,"win",デモトレ履歴!$R$4:$R$105,"&lt;"&amp;IF(A57&lt;&gt;"",A57,DATE(YEAR(A56),MONTH(A56),DAY(EOMONTH(A56,0)))))-SUM($F$46:$F55),0)</f>
        <v>#REF!</v>
      </c>
      <c r="G56" s="111" t="e">
        <f>IF(A57&lt;&gt;"",COUNTIFS(デモトレ履歴!$M$4:$M$105,"loss",デモトレ履歴!$R$4:$R$105,"&lt;"&amp;IF(A57&lt;&gt;"",A57,DATE(YEAR(A56),MONTH(A56),DAY(EOMONTH(A56,0)))))-SUM($G$46:$G55),0)</f>
        <v>#REF!</v>
      </c>
      <c r="H56" s="111">
        <f>COUNTIFS(デモトレ履歴!$M$4:$M$105,"drw",デモトレ履歴!$R$4:$R$105,"&lt;"&amp;IF(A57&lt;&gt;"",A57,DATE(YEAR(A56),MONTH(A56),DAY(EOMONTH(A56,0)))))-SUM($H$46:$H55)</f>
        <v>0</v>
      </c>
      <c r="I56" s="147" t="e">
        <f t="shared" si="14"/>
        <v>#REF!</v>
      </c>
      <c r="J56" s="148" t="e">
        <f t="shared" si="9"/>
        <v>#REF!</v>
      </c>
      <c r="K56" s="148" t="e">
        <f t="shared" si="10"/>
        <v>#REF!</v>
      </c>
      <c r="L56" s="111" t="e">
        <f t="shared" si="15"/>
        <v>#REF!</v>
      </c>
      <c r="M56" s="111" t="e">
        <f t="shared" si="11"/>
        <v>#REF!</v>
      </c>
      <c r="N56" s="111" t="e">
        <f>IF(E56&gt;0,SUMIFS(デモトレ履歴!$P$4:$P$105,デモトレ履歴!$M$4:$M$105,"drw",デモトレ履歴!$R$4:$R$105,"&lt;"&amp;IF(A57&lt;&gt;"",A57,DATE(YEAR(A56),MONTH(A56),DAY(EOMONTH(A56,0)))))-SUM($C$46:$C55),0)</f>
        <v>#REF!</v>
      </c>
      <c r="O56" s="148" t="e">
        <f t="shared" si="12"/>
        <v>#REF!</v>
      </c>
    </row>
    <row r="57" spans="1:15">
      <c r="A57" s="146" t="e">
        <f t="shared" si="13"/>
        <v>#REF!</v>
      </c>
      <c r="B57" s="111" t="e">
        <f>IF(E57&gt;0,SUMIFS(デモトレ履歴!$P$4:$P$105,デモトレ履歴!$M$4:$M$105,"win",デモトレ履歴!$R$4:$R111,"&lt;"&amp;IF(A58&lt;&gt;"",A58,DATE(YEAR(A57),MONTH(A57),DAY(EOMONTH(A57,0)))))-SUM($B$44:$B56),0)</f>
        <v>#REF!</v>
      </c>
      <c r="C57" s="111" t="e">
        <f>IF(E57&gt;0,SUMIFS(デモトレ履歴!$P$4:$P$105,デモトレ履歴!$M$4:$M$105,"loss",デモトレ履歴!$R$4:$R$105,"&lt;"&amp;IF(A58&lt;&gt;"",A58,DATE(YEAR(A57),MONTH(A57),DAY(EOMONTH(A57,0)))))-SUM($C$46:$C56),0)</f>
        <v>#REF!</v>
      </c>
      <c r="D57" s="111" t="e">
        <f t="shared" si="8"/>
        <v>#REF!</v>
      </c>
      <c r="E57" s="111" t="e">
        <f>IF(A57&lt;&gt;"",COUNTIF(デモトレ履歴!$R$4:$R$105,"&lt;"&amp;IF(A58&lt;&gt;"",A58,DATE(YEAR(A57),MONTH(A57),DAY(EOMONTH(A57,0)))))-SUM($E$46:$E56),0)</f>
        <v>#REF!</v>
      </c>
      <c r="F57" s="111" t="e">
        <f>IF(A58&lt;&gt;"",COUNTIFS(デモトレ履歴!$M$4:$M$105,"win",デモトレ履歴!$R$4:$R$105,"&lt;"&amp;IF(A58&lt;&gt;"",A58,DATE(YEAR(A57),MONTH(A57),DAY(EOMONTH(A57,0)))))-SUM($F$46:$F56),0)</f>
        <v>#REF!</v>
      </c>
      <c r="G57" s="111" t="e">
        <f>IF(A58&lt;&gt;"",COUNTIFS(デモトレ履歴!$M$4:$M$105,"loss",デモトレ履歴!$R$4:$R$105,"&lt;"&amp;IF(A58&lt;&gt;"",A58,DATE(YEAR(A57),MONTH(A57),DAY(EOMONTH(A57,0)))))-SUM($G$46:$G56),0)</f>
        <v>#REF!</v>
      </c>
      <c r="H57" s="111">
        <f>COUNTIFS(デモトレ履歴!$M$4:$M$105,"drw",デモトレ履歴!$R$4:$R$105,"&lt;"&amp;IF(A58&lt;&gt;"",A58,DATE(YEAR(A57),MONTH(A57),DAY(EOMONTH(A57,0)))))-SUM($H$46:$H56)</f>
        <v>0</v>
      </c>
      <c r="I57" s="147" t="e">
        <f t="shared" si="14"/>
        <v>#REF!</v>
      </c>
      <c r="J57" s="148" t="e">
        <f t="shared" si="9"/>
        <v>#REF!</v>
      </c>
      <c r="K57" s="148" t="e">
        <f t="shared" si="10"/>
        <v>#REF!</v>
      </c>
      <c r="L57" s="111" t="e">
        <f t="shared" si="15"/>
        <v>#REF!</v>
      </c>
      <c r="M57" s="111" t="e">
        <f t="shared" si="11"/>
        <v>#REF!</v>
      </c>
      <c r="N57" s="111" t="e">
        <f>IF(E57&gt;0,SUMIFS(デモトレ履歴!$P$4:$P$105,デモトレ履歴!$M$4:$M$105,"drw",デモトレ履歴!$R$4:$R$105,"&lt;"&amp;IF(A58&lt;&gt;"",A58,DATE(YEAR(A57),MONTH(A57),DAY(EOMONTH(A57,0)))))-SUM($C$46:$C56),0)</f>
        <v>#REF!</v>
      </c>
      <c r="O57" s="148" t="e">
        <f t="shared" si="12"/>
        <v>#REF!</v>
      </c>
    </row>
    <row r="58" spans="1:15">
      <c r="A58" s="146" t="e">
        <f t="shared" si="13"/>
        <v>#REF!</v>
      </c>
      <c r="B58" s="111" t="e">
        <f>IF(E58&gt;0,SUMIFS(デモトレ履歴!$P$4:$P$105,デモトレ履歴!$M$4:$M$105,"win",デモトレ履歴!$R$4:$R112,"&lt;"&amp;IF(A59&lt;&gt;"",A59,DATE(YEAR(A58),MONTH(A58),DAY(EOMONTH(A58,0)))))-SUM($B$44:$B57),0)</f>
        <v>#REF!</v>
      </c>
      <c r="C58" s="111" t="e">
        <f>IF(E58&gt;0,SUMIFS(デモトレ履歴!$P$4:$P$105,デモトレ履歴!$M$4:$M$105,"loss",デモトレ履歴!$R$4:$R$105,"&lt;"&amp;IF(A59&lt;&gt;"",A59,DATE(YEAR(A58),MONTH(A58),DAY(EOMONTH(A58,0)))))-SUM($C$46:$C57),0)</f>
        <v>#REF!</v>
      </c>
      <c r="D58" s="111" t="e">
        <f t="shared" si="8"/>
        <v>#REF!</v>
      </c>
      <c r="E58" s="111" t="e">
        <f>IF(A58&lt;&gt;"",COUNTIF(デモトレ履歴!$R$4:$R$105,"&lt;"&amp;IF(A59&lt;&gt;"",A59,DATE(YEAR(A58),MONTH(A58),DAY(EOMONTH(A58,0)))))-SUM($E$46:$E57),0)</f>
        <v>#REF!</v>
      </c>
      <c r="F58" s="111" t="e">
        <f>IF(A59&lt;&gt;"",COUNTIFS(デモトレ履歴!$M$4:$M$105,"win",デモトレ履歴!$R$4:$R$105,"&lt;"&amp;IF(A59&lt;&gt;"",A59,DATE(YEAR(A58),MONTH(A58),DAY(EOMONTH(A58,0)))))-SUM($F$46:$F57),0)</f>
        <v>#REF!</v>
      </c>
      <c r="G58" s="111" t="e">
        <f>IF(A59&lt;&gt;"",COUNTIFS(デモトレ履歴!$M$4:$M$105,"loss",デモトレ履歴!$R$4:$R$105,"&lt;"&amp;IF(A59&lt;&gt;"",A59,DATE(YEAR(A58),MONTH(A58),DAY(EOMONTH(A58,0)))))-SUM($G$46:$G57),0)</f>
        <v>#REF!</v>
      </c>
      <c r="H58" s="111">
        <f>COUNTIFS(デモトレ履歴!$M$4:$M$105,"drw",デモトレ履歴!$R$4:$R$105,"&lt;"&amp;IF(A59&lt;&gt;"",A59,DATE(YEAR(A58),MONTH(A58),DAY(EOMONTH(A58,0)))))-SUM($H$46:$H57)</f>
        <v>0</v>
      </c>
      <c r="I58" s="147" t="e">
        <f t="shared" si="14"/>
        <v>#REF!</v>
      </c>
      <c r="J58" s="148" t="e">
        <f t="shared" si="9"/>
        <v>#REF!</v>
      </c>
      <c r="K58" s="148" t="e">
        <f t="shared" si="10"/>
        <v>#REF!</v>
      </c>
      <c r="L58" s="111" t="e">
        <f t="shared" si="15"/>
        <v>#REF!</v>
      </c>
      <c r="M58" s="111" t="e">
        <f t="shared" si="11"/>
        <v>#REF!</v>
      </c>
      <c r="N58" s="111" t="e">
        <f>IF(E58&gt;0,SUMIFS(デモトレ履歴!$P$4:$P$105,デモトレ履歴!$M$4:$M$105,"drw",デモトレ履歴!$R$4:$R$105,"&lt;"&amp;IF(A59&lt;&gt;"",A59,DATE(YEAR(A58),MONTH(A58),DAY(EOMONTH(A58,0)))))-SUM($C$46:$C57),0)</f>
        <v>#REF!</v>
      </c>
      <c r="O58" s="148" t="e">
        <f t="shared" si="12"/>
        <v>#REF!</v>
      </c>
    </row>
    <row r="59" spans="1:15">
      <c r="A59" s="146" t="e">
        <f t="shared" si="13"/>
        <v>#REF!</v>
      </c>
      <c r="B59" s="111" t="e">
        <f>IF(E59&gt;0,SUMIFS(デモトレ履歴!$P$4:$P$105,デモトレ履歴!$M$4:$M$105,"win",デモトレ履歴!$R$4:$R113,"&lt;"&amp;IF(A60&lt;&gt;"",A60,DATE(YEAR(A59),MONTH(A59),DAY(EOMONTH(A59,0)))))-SUM($B$44:$B58),0)</f>
        <v>#REF!</v>
      </c>
      <c r="C59" s="111" t="e">
        <f>IF(E59&gt;0,SUMIFS(デモトレ履歴!$P$4:$P$105,デモトレ履歴!$M$4:$M$105,"loss",デモトレ履歴!$R$4:$R$105,"&lt;"&amp;IF(A60&lt;&gt;"",A60,DATE(YEAR(A59),MONTH(A59),DAY(EOMONTH(A59,0)))))-SUM($C$46:$C58),0)</f>
        <v>#REF!</v>
      </c>
      <c r="D59" s="111" t="e">
        <f t="shared" si="8"/>
        <v>#REF!</v>
      </c>
      <c r="E59" s="111" t="e">
        <f>IF(A59&lt;&gt;"",COUNTIF(デモトレ履歴!$R$4:$R$105,"&lt;"&amp;IF(A60&lt;&gt;"",A60,DATE(YEAR(A59),MONTH(A59),DAY(EOMONTH(A59,0)))))-SUM($E$46:$E58),0)</f>
        <v>#REF!</v>
      </c>
      <c r="F59" s="111" t="e">
        <f>IF(A60&lt;&gt;"",COUNTIFS(デモトレ履歴!$M$4:$M$105,"win",デモトレ履歴!$R$4:$R$105,"&lt;"&amp;IF(A60&lt;&gt;"",A60,DATE(YEAR(A59),MONTH(A59),DAY(EOMONTH(A59,0)))))-SUM($F$46:$F58),0)</f>
        <v>#REF!</v>
      </c>
      <c r="G59" s="111" t="e">
        <f>IF(A60&lt;&gt;"",COUNTIFS(デモトレ履歴!$M$4:$M$105,"loss",デモトレ履歴!$R$4:$R$105,"&lt;"&amp;IF(A60&lt;&gt;"",A60,DATE(YEAR(A59),MONTH(A59),DAY(EOMONTH(A59,0)))))-SUM($G$46:$G58),0)</f>
        <v>#REF!</v>
      </c>
      <c r="H59" s="111">
        <f>COUNTIFS(デモトレ履歴!$M$4:$M$105,"drw",デモトレ履歴!$R$4:$R$105,"&lt;"&amp;IF(A60&lt;&gt;"",A60,DATE(YEAR(A59),MONTH(A59),DAY(EOMONTH(A59,0)))))-SUM($H$46:$H58)</f>
        <v>0</v>
      </c>
      <c r="I59" s="147" t="e">
        <f t="shared" si="14"/>
        <v>#REF!</v>
      </c>
      <c r="J59" s="148" t="e">
        <f t="shared" si="9"/>
        <v>#REF!</v>
      </c>
      <c r="K59" s="148" t="e">
        <f t="shared" si="10"/>
        <v>#REF!</v>
      </c>
      <c r="L59" s="111" t="e">
        <f t="shared" si="15"/>
        <v>#REF!</v>
      </c>
      <c r="M59" s="111" t="e">
        <f t="shared" si="11"/>
        <v>#REF!</v>
      </c>
      <c r="N59" s="111" t="e">
        <f>IF(E59&gt;0,SUMIFS(デモトレ履歴!$P$4:$P$105,デモトレ履歴!$M$4:$M$105,"drw",デモトレ履歴!$R$4:$R$105,"&lt;"&amp;IF(A60&lt;&gt;"",A60,DATE(YEAR(A59),MONTH(A59),DAY(EOMONTH(A59,0)))))-SUM($C$46:$C58),0)</f>
        <v>#REF!</v>
      </c>
      <c r="O59" s="148" t="e">
        <f t="shared" si="12"/>
        <v>#REF!</v>
      </c>
    </row>
    <row r="60" spans="1:15">
      <c r="A60" s="146" t="e">
        <f t="shared" si="13"/>
        <v>#REF!</v>
      </c>
      <c r="B60" s="111" t="e">
        <f>IF(E60&gt;0,SUMIFS(デモトレ履歴!$P$4:$P$105,デモトレ履歴!$M$4:$M$105,"win",デモトレ履歴!$R$4:$R114,"&lt;"&amp;IF(A61&lt;&gt;"",A61,DATE(YEAR(A60),MONTH(A60),DAY(EOMONTH(A60,0)))))-SUM($B$44:$B59),0)</f>
        <v>#REF!</v>
      </c>
      <c r="C60" s="111" t="e">
        <f>IF(E60&gt;0,SUMIFS(デモトレ履歴!$P$4:$P$105,デモトレ履歴!$M$4:$M$105,"loss",デモトレ履歴!$R$4:$R$105,"&lt;"&amp;IF(A61&lt;&gt;"",A61,DATE(YEAR(A60),MONTH(A60),DAY(EOMONTH(A60,0)))))-SUM($C$46:$C59),0)</f>
        <v>#REF!</v>
      </c>
      <c r="D60" s="111" t="e">
        <f t="shared" si="8"/>
        <v>#REF!</v>
      </c>
      <c r="E60" s="111" t="e">
        <f>IF(A60&lt;&gt;"",COUNTIF(デモトレ履歴!$R$4:$R$105,"&lt;"&amp;IF(A61&lt;&gt;"",A61,DATE(YEAR(A60),MONTH(A60),DAY(EOMONTH(A60,0)))))-SUM($E$46:$E59),0)</f>
        <v>#REF!</v>
      </c>
      <c r="F60" s="111" t="e">
        <f>IF(A61&lt;&gt;"",COUNTIFS(デモトレ履歴!$M$4:$M$105,"win",デモトレ履歴!$R$4:$R$105,"&lt;"&amp;IF(A61&lt;&gt;"",A61,DATE(YEAR(A60),MONTH(A60),DAY(EOMONTH(A60,0)))))-SUM($F$46:$F59),0)</f>
        <v>#REF!</v>
      </c>
      <c r="G60" s="111" t="e">
        <f>IF(A61&lt;&gt;"",COUNTIFS(デモトレ履歴!$M$4:$M$105,"loss",デモトレ履歴!$R$4:$R$105,"&lt;"&amp;IF(A61&lt;&gt;"",A61,DATE(YEAR(A60),MONTH(A60),DAY(EOMONTH(A60,0)))))-SUM($G$46:$G59),0)</f>
        <v>#REF!</v>
      </c>
      <c r="H60" s="111">
        <f>COUNTIFS(デモトレ履歴!$M$4:$M$105,"drw",デモトレ履歴!$R$4:$R$105,"&lt;"&amp;IF(A61&lt;&gt;"",A61,DATE(YEAR(A60),MONTH(A60),DAY(EOMONTH(A60,0)))))-SUM($H$46:$H59)</f>
        <v>0</v>
      </c>
      <c r="I60" s="147" t="e">
        <f t="shared" si="14"/>
        <v>#REF!</v>
      </c>
      <c r="J60" s="148" t="e">
        <f t="shared" si="9"/>
        <v>#REF!</v>
      </c>
      <c r="K60" s="148" t="e">
        <f t="shared" si="10"/>
        <v>#REF!</v>
      </c>
      <c r="L60" s="111" t="e">
        <f t="shared" si="15"/>
        <v>#REF!</v>
      </c>
      <c r="M60" s="111" t="e">
        <f t="shared" si="11"/>
        <v>#REF!</v>
      </c>
      <c r="N60" s="111" t="e">
        <f>IF(E60&gt;0,SUMIFS(デモトレ履歴!$P$4:$P$105,デモトレ履歴!$M$4:$M$105,"drw",デモトレ履歴!$R$4:$R$105,"&lt;"&amp;IF(A61&lt;&gt;"",A61,DATE(YEAR(A60),MONTH(A60),DAY(EOMONTH(A60,0)))))-SUM($C$46:$C59),0)</f>
        <v>#REF!</v>
      </c>
      <c r="O60" s="148" t="e">
        <f t="shared" si="12"/>
        <v>#REF!</v>
      </c>
    </row>
    <row r="61" spans="1:15">
      <c r="A61" s="146" t="e">
        <f t="shared" si="13"/>
        <v>#REF!</v>
      </c>
      <c r="B61" s="111" t="e">
        <f>IF(E61&gt;0,SUMIFS(デモトレ履歴!$P$4:$P$105,デモトレ履歴!$M$4:$M$105,"win",デモトレ履歴!$R$4:$R115,"&lt;"&amp;IF(A62&lt;&gt;"",A62,DATE(YEAR(A61),MONTH(A61),DAY(EOMONTH(A61,0)))))-SUM($B$44:$B60),0)</f>
        <v>#REF!</v>
      </c>
      <c r="C61" s="111" t="e">
        <f>IF(E61&gt;0,SUMIFS(デモトレ履歴!$P$4:$P$105,デモトレ履歴!$M$4:$M$105,"loss",デモトレ履歴!$R$4:$R$105,"&lt;"&amp;IF(A62&lt;&gt;"",A62,DATE(YEAR(A61),MONTH(A61),DAY(EOMONTH(A61,0)))))-SUM($C$46:$C60),0)</f>
        <v>#REF!</v>
      </c>
      <c r="D61" s="111" t="e">
        <f t="shared" si="8"/>
        <v>#REF!</v>
      </c>
      <c r="E61" s="111" t="e">
        <f>IF(A61&lt;&gt;"",COUNTIF(デモトレ履歴!$R$4:$R$105,"&lt;"&amp;IF(A62&lt;&gt;"",A62,DATE(YEAR(A61),MONTH(A61),DAY(EOMONTH(A61,0)))))-SUM($E$46:$E60),0)</f>
        <v>#REF!</v>
      </c>
      <c r="F61" s="111" t="e">
        <f>IF(A62&lt;&gt;"",COUNTIFS(デモトレ履歴!$M$4:$M$105,"win",デモトレ履歴!$R$4:$R$105,"&lt;"&amp;IF(A62&lt;&gt;"",A62,DATE(YEAR(A61),MONTH(A61),DAY(EOMONTH(A61,0)))))-SUM($F$46:$F60),0)</f>
        <v>#REF!</v>
      </c>
      <c r="G61" s="111" t="e">
        <f>IF(A62&lt;&gt;"",COUNTIFS(デモトレ履歴!$M$4:$M$105,"loss",デモトレ履歴!$R$4:$R$105,"&lt;"&amp;IF(A62&lt;&gt;"",A62,DATE(YEAR(A61),MONTH(A61),DAY(EOMONTH(A61,0)))))-SUM($G$46:$G60),0)</f>
        <v>#REF!</v>
      </c>
      <c r="H61" s="111">
        <f>COUNTIFS(デモトレ履歴!$M$4:$M$105,"drw",デモトレ履歴!$R$4:$R$105,"&lt;"&amp;IF(A62&lt;&gt;"",A62,DATE(YEAR(A61),MONTH(A61),DAY(EOMONTH(A61,0)))))-SUM($H$46:$H60)</f>
        <v>0</v>
      </c>
      <c r="I61" s="147" t="e">
        <f t="shared" si="14"/>
        <v>#REF!</v>
      </c>
      <c r="J61" s="148" t="e">
        <f t="shared" si="9"/>
        <v>#REF!</v>
      </c>
      <c r="K61" s="148" t="e">
        <f t="shared" si="10"/>
        <v>#REF!</v>
      </c>
      <c r="L61" s="111" t="e">
        <f t="shared" si="15"/>
        <v>#REF!</v>
      </c>
      <c r="M61" s="111" t="e">
        <f t="shared" si="11"/>
        <v>#REF!</v>
      </c>
      <c r="N61" s="111" t="e">
        <f>IF(E61&gt;0,SUMIFS(デモトレ履歴!$P$4:$P$105,デモトレ履歴!$M$4:$M$105,"drw",デモトレ履歴!$R$4:$R$105,"&lt;"&amp;IF(A62&lt;&gt;"",A62,DATE(YEAR(A61),MONTH(A61),DAY(EOMONTH(A61,0)))))-SUM($C$46:$C60),0)</f>
        <v>#REF!</v>
      </c>
      <c r="O61" s="148" t="e">
        <f t="shared" si="12"/>
        <v>#REF!</v>
      </c>
    </row>
    <row r="62" spans="1:15">
      <c r="A62" s="146" t="e">
        <f t="shared" si="13"/>
        <v>#REF!</v>
      </c>
      <c r="B62" s="111" t="e">
        <f>IF(E62&gt;0,SUMIFS(デモトレ履歴!$P$4:$P$105,デモトレ履歴!$M$4:$M$105,"win",デモトレ履歴!$R$4:$R116,"&lt;"&amp;IF(A63&lt;&gt;"",A63,DATE(YEAR(A62),MONTH(A62),DAY(EOMONTH(A62,0)))))-SUM($B$44:$B61),0)</f>
        <v>#REF!</v>
      </c>
      <c r="C62" s="111" t="e">
        <f>IF(E62&gt;0,SUMIFS(デモトレ履歴!$P$4:$P$105,デモトレ履歴!$M$4:$M$105,"loss",デモトレ履歴!$R$4:$R$105,"&lt;"&amp;IF(A63&lt;&gt;"",A63,DATE(YEAR(A62),MONTH(A62),DAY(EOMONTH(A62,0)))))-SUM($C$46:$C61),0)</f>
        <v>#REF!</v>
      </c>
      <c r="D62" s="111" t="e">
        <f t="shared" si="8"/>
        <v>#REF!</v>
      </c>
      <c r="E62" s="111" t="e">
        <f>IF(A62&lt;&gt;"",COUNTIF(デモトレ履歴!$R$4:$R$105,"&lt;"&amp;IF(A63&lt;&gt;"",A63,DATE(YEAR(A62),MONTH(A62),DAY(EOMONTH(A62,0)))))-SUM($E$46:$E61),0)</f>
        <v>#REF!</v>
      </c>
      <c r="F62" s="111" t="e">
        <f>IF(A63&lt;&gt;"",COUNTIFS(デモトレ履歴!$M$4:$M$105,"win",デモトレ履歴!$R$4:$R$105,"&lt;"&amp;IF(A63&lt;&gt;"",A63,DATE(YEAR(A62),MONTH(A62),DAY(EOMONTH(A62,0)))))-SUM($F$46:$F61),0)</f>
        <v>#REF!</v>
      </c>
      <c r="G62" s="111" t="e">
        <f>IF(A63&lt;&gt;"",COUNTIFS(デモトレ履歴!$M$4:$M$105,"loss",デモトレ履歴!$R$4:$R$105,"&lt;"&amp;IF(A63&lt;&gt;"",A63,DATE(YEAR(A62),MONTH(A62),DAY(EOMONTH(A62,0)))))-SUM($G$46:$G61),0)</f>
        <v>#REF!</v>
      </c>
      <c r="H62" s="111">
        <f>COUNTIFS(デモトレ履歴!$M$4:$M$105,"drw",デモトレ履歴!$R$4:$R$105,"&lt;"&amp;IF(A63&lt;&gt;"",A63,DATE(YEAR(A62),MONTH(A62),DAY(EOMONTH(A62,0)))))-SUM($H$46:$H61)</f>
        <v>0</v>
      </c>
      <c r="I62" s="147" t="e">
        <f t="shared" si="14"/>
        <v>#REF!</v>
      </c>
      <c r="J62" s="148" t="e">
        <f t="shared" si="9"/>
        <v>#REF!</v>
      </c>
      <c r="K62" s="148" t="e">
        <f t="shared" si="10"/>
        <v>#REF!</v>
      </c>
      <c r="L62" s="111" t="e">
        <f t="shared" si="15"/>
        <v>#REF!</v>
      </c>
      <c r="M62" s="111" t="e">
        <f t="shared" si="11"/>
        <v>#REF!</v>
      </c>
      <c r="N62" s="111" t="e">
        <f>IF(E62&gt;0,SUMIFS(デモトレ履歴!$P$4:$P$105,デモトレ履歴!$M$4:$M$105,"drw",デモトレ履歴!$R$4:$R$105,"&lt;"&amp;IF(A63&lt;&gt;"",A63,DATE(YEAR(A62),MONTH(A62),DAY(EOMONTH(A62,0)))))-SUM($C$46:$C61),0)</f>
        <v>#REF!</v>
      </c>
      <c r="O62" s="148" t="e">
        <f t="shared" si="12"/>
        <v>#REF!</v>
      </c>
    </row>
    <row r="63" spans="1:15">
      <c r="A63" s="146" t="e">
        <f t="shared" si="13"/>
        <v>#REF!</v>
      </c>
      <c r="B63" s="111" t="e">
        <f>IF(E63&gt;0,SUMIFS(デモトレ履歴!$P$4:$P$105,デモトレ履歴!$M$4:$M$105,"win",デモトレ履歴!$R$4:$R117,"&lt;"&amp;IF(A64&lt;&gt;"",A64,DATE(YEAR(A63),MONTH(A63),DAY(EOMONTH(A63,0)))))-SUM($B$44:$B62),0)</f>
        <v>#REF!</v>
      </c>
      <c r="C63" s="111" t="e">
        <f>IF(E63&gt;0,SUMIFS(デモトレ履歴!$P$4:$P$105,デモトレ履歴!$M$4:$M$105,"loss",デモトレ履歴!$R$4:$R$105,"&lt;"&amp;IF(A64&lt;&gt;"",A64,DATE(YEAR(A63),MONTH(A63),DAY(EOMONTH(A63,0)))))-SUM($C$46:$C62),0)</f>
        <v>#REF!</v>
      </c>
      <c r="D63" s="111" t="e">
        <f t="shared" si="8"/>
        <v>#REF!</v>
      </c>
      <c r="E63" s="111" t="e">
        <f>IF(A63&lt;&gt;"",COUNTIF(デモトレ履歴!$R$4:$R$105,"&lt;"&amp;IF(A64&lt;&gt;"",A64,DATE(YEAR(A63),MONTH(A63),DAY(EOMONTH(A63,0)))))-SUM($E$46:$E62),0)</f>
        <v>#REF!</v>
      </c>
      <c r="F63" s="111">
        <f>IF(A64&lt;&gt;"",COUNTIFS(デモトレ履歴!$M$4:$M$105,"win",デモトレ履歴!$R$4:$R$105,"&lt;"&amp;IF(A64&lt;&gt;"",A64,DATE(YEAR(A63),MONTH(A63),DAY(EOMONTH(A63,0)))))-SUM($F$46:$F62),0)</f>
        <v>0</v>
      </c>
      <c r="G63" s="111">
        <f>IF(A64&lt;&gt;"",COUNTIFS(デモトレ履歴!$M$4:$M$105,"loss",デモトレ履歴!$R$4:$R$105,"&lt;"&amp;IF(A64&lt;&gt;"",A64,DATE(YEAR(A63),MONTH(A63),DAY(EOMONTH(A63,0)))))-SUM($G$46:$G62),0)</f>
        <v>0</v>
      </c>
      <c r="H63" s="111">
        <f>COUNTIFS(デモトレ履歴!$M$4:$M$105,"drw",デモトレ履歴!$R$4:$R$105,"&lt;"&amp;IF(A64&lt;&gt;"",A64,DATE(YEAR(A63),MONTH(A63),DAY(EOMONTH(A63,0)))))-SUM($H$46:$H62)</f>
        <v>0</v>
      </c>
      <c r="I63" s="147" t="e">
        <f t="shared" si="14"/>
        <v>#REF!</v>
      </c>
      <c r="J63" s="148" t="e">
        <f t="shared" si="9"/>
        <v>#REF!</v>
      </c>
      <c r="K63" s="148" t="e">
        <f t="shared" si="10"/>
        <v>#REF!</v>
      </c>
      <c r="L63" s="111" t="e">
        <f t="shared" si="15"/>
        <v>#REF!</v>
      </c>
      <c r="M63" s="111" t="e">
        <f t="shared" si="11"/>
        <v>#REF!</v>
      </c>
      <c r="N63" s="111" t="e">
        <f>IF(E63&gt;0,SUMIFS(デモトレ履歴!$P$4:$P$105,デモトレ履歴!$M$4:$M$105,"drw",デモトレ履歴!$R$4:$R$105,"&lt;"&amp;IF(A64&lt;&gt;"",A64,DATE(YEAR(A63),MONTH(A63),DAY(EOMONTH(A63,0)))))-SUM($C$46:$C62),0)</f>
        <v>#REF!</v>
      </c>
      <c r="O63" s="148" t="e">
        <f t="shared" si="12"/>
        <v>#REF!</v>
      </c>
    </row>
    <row r="64" spans="1:15">
      <c r="A64" s="146"/>
      <c r="B64" s="111"/>
      <c r="C64" s="111"/>
      <c r="D64" s="111"/>
      <c r="E64" s="111"/>
      <c r="F64" s="111"/>
      <c r="G64" s="111"/>
      <c r="H64" s="111"/>
      <c r="I64" s="147"/>
      <c r="J64" s="111"/>
      <c r="K64" s="111"/>
      <c r="L64" s="111"/>
      <c r="M64" s="111"/>
      <c r="N64" s="148"/>
    </row>
    <row r="65" spans="1:14">
      <c r="A65" s="146"/>
      <c r="B65" s="111"/>
      <c r="C65" s="111"/>
      <c r="D65" s="111"/>
      <c r="E65" s="111"/>
      <c r="F65" s="111"/>
      <c r="G65" s="111"/>
      <c r="H65" s="111"/>
      <c r="I65" s="147"/>
      <c r="J65" s="111"/>
      <c r="K65" s="111"/>
      <c r="L65" s="111"/>
      <c r="M65" s="111"/>
      <c r="N65" s="148"/>
    </row>
    <row r="66" spans="1:14">
      <c r="A66" s="146"/>
      <c r="B66" s="111"/>
      <c r="C66" s="111"/>
      <c r="D66" s="111"/>
      <c r="E66" s="111"/>
      <c r="F66" s="111"/>
      <c r="G66" s="111"/>
      <c r="H66" s="111"/>
      <c r="I66" s="147"/>
      <c r="J66" s="111"/>
      <c r="K66" s="111"/>
      <c r="L66" s="111"/>
      <c r="M66" s="111"/>
      <c r="N66" s="148"/>
    </row>
    <row r="67" spans="1:14">
      <c r="A67" s="146"/>
      <c r="B67" s="111"/>
      <c r="C67" s="111"/>
      <c r="D67" s="111"/>
      <c r="E67" s="111"/>
      <c r="F67" s="111"/>
      <c r="G67" s="111"/>
      <c r="H67" s="111"/>
      <c r="I67" s="147"/>
      <c r="J67" s="111"/>
      <c r="K67" s="111"/>
      <c r="L67" s="111"/>
      <c r="M67" s="111"/>
      <c r="N67" s="148"/>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sheetPr codeName="Sheet4">
    <tabColor theme="0" tint="-0.14999847407452621"/>
  </sheetPr>
  <dimension ref="A1:A200"/>
  <sheetViews>
    <sheetView topLeftCell="A193" zoomScale="115" zoomScaleSheetLayoutView="100" workbookViewId="0">
      <selection activeCell="A217" sqref="A217"/>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4" t="s">
        <v>32</v>
      </c>
    </row>
    <row r="37" spans="1:1">
      <c r="A37" s="2" t="s">
        <v>33</v>
      </c>
    </row>
    <row r="38" spans="1:1">
      <c r="A38" s="2" t="s">
        <v>34</v>
      </c>
    </row>
    <row r="39" spans="1:1">
      <c r="A39" s="2" t="s">
        <v>35</v>
      </c>
    </row>
    <row r="40" spans="1:1">
      <c r="A40" s="2" t="s">
        <v>36</v>
      </c>
    </row>
    <row r="42" spans="1:1">
      <c r="A42" s="5"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5" t="s">
        <v>45</v>
      </c>
    </row>
    <row r="52" spans="1:1" ht="27">
      <c r="A52" s="6" t="s">
        <v>46</v>
      </c>
    </row>
    <row r="53" spans="1:1" ht="27">
      <c r="A53" s="6" t="s">
        <v>47</v>
      </c>
    </row>
    <row r="54" spans="1:1">
      <c r="A54" s="6" t="s">
        <v>48</v>
      </c>
    </row>
    <row r="55" spans="1:1">
      <c r="A55" s="7" t="s">
        <v>49</v>
      </c>
    </row>
    <row r="56" spans="1:1" ht="27">
      <c r="A56" s="6" t="s">
        <v>50</v>
      </c>
    </row>
    <row r="57" spans="1:1" ht="27">
      <c r="A57" s="8" t="s">
        <v>51</v>
      </c>
    </row>
    <row r="58" spans="1:1" ht="27">
      <c r="A58" s="6" t="s">
        <v>52</v>
      </c>
    </row>
    <row r="59" spans="1:1">
      <c r="A59" s="2" t="s">
        <v>53</v>
      </c>
    </row>
    <row r="61" spans="1:1">
      <c r="A61" s="9" t="s">
        <v>54</v>
      </c>
    </row>
    <row r="62" spans="1:1">
      <c r="A62" s="10" t="s">
        <v>131</v>
      </c>
    </row>
    <row r="63" spans="1:1">
      <c r="A63" s="10" t="s">
        <v>55</v>
      </c>
    </row>
    <row r="64" spans="1:1">
      <c r="A64" s="10" t="s">
        <v>132</v>
      </c>
    </row>
    <row r="65" spans="1:1">
      <c r="A65" s="10" t="s">
        <v>56</v>
      </c>
    </row>
    <row r="66" spans="1:1">
      <c r="A66" s="10" t="s">
        <v>57</v>
      </c>
    </row>
    <row r="67" spans="1:1">
      <c r="A67" s="11" t="s">
        <v>58</v>
      </c>
    </row>
    <row r="69" spans="1:1">
      <c r="A69" s="12" t="s">
        <v>59</v>
      </c>
    </row>
    <row r="70" spans="1:1" ht="34.5" customHeight="1">
      <c r="A70" s="6" t="s">
        <v>60</v>
      </c>
    </row>
    <row r="71" spans="1:1" ht="33" customHeight="1">
      <c r="A71" s="6" t="s">
        <v>61</v>
      </c>
    </row>
    <row r="72" spans="1:1" ht="34.5" customHeight="1">
      <c r="A72" s="13" t="s">
        <v>62</v>
      </c>
    </row>
    <row r="73" spans="1:1">
      <c r="A73" s="2" t="s">
        <v>63</v>
      </c>
    </row>
    <row r="74" spans="1:1" ht="12.75" customHeight="1">
      <c r="A74" s="2" t="s">
        <v>64</v>
      </c>
    </row>
    <row r="75" spans="1:1" ht="24" hidden="1" customHeight="1">
      <c r="A75" s="14" t="s">
        <v>65</v>
      </c>
    </row>
    <row r="76" spans="1:1" ht="17.25" hidden="1" customHeight="1">
      <c r="A76" s="15" t="s">
        <v>66</v>
      </c>
    </row>
    <row r="77" spans="1:1" ht="17.25" hidden="1" customHeight="1">
      <c r="A77" s="15" t="s">
        <v>133</v>
      </c>
    </row>
    <row r="78" spans="1:1" ht="0.75" customHeight="1" thickBot="1">
      <c r="A78" s="16" t="s">
        <v>67</v>
      </c>
    </row>
    <row r="80" spans="1:1">
      <c r="A80" s="12" t="s">
        <v>126</v>
      </c>
    </row>
    <row r="81" spans="1:1" ht="17.25" customHeight="1">
      <c r="A81" s="6" t="s">
        <v>127</v>
      </c>
    </row>
    <row r="82" spans="1:1">
      <c r="A82" s="2" t="s">
        <v>128</v>
      </c>
    </row>
    <row r="83" spans="1:1">
      <c r="A83" s="2" t="s">
        <v>143</v>
      </c>
    </row>
    <row r="85" spans="1:1">
      <c r="A85" s="12" t="s">
        <v>145</v>
      </c>
    </row>
    <row r="86" spans="1:1">
      <c r="A86" s="2" t="s">
        <v>154</v>
      </c>
    </row>
    <row r="87" spans="1:1">
      <c r="A87" s="2" t="s">
        <v>151</v>
      </c>
    </row>
    <row r="88" spans="1:1">
      <c r="A88" s="2" t="s">
        <v>155</v>
      </c>
    </row>
    <row r="89" spans="1:1">
      <c r="A89" s="2" t="s">
        <v>146</v>
      </c>
    </row>
    <row r="90" spans="1:1">
      <c r="A90" s="2" t="s">
        <v>156</v>
      </c>
    </row>
    <row r="91" spans="1:1">
      <c r="A91" s="2" t="s">
        <v>150</v>
      </c>
    </row>
    <row r="92" spans="1:1" ht="27">
      <c r="A92" s="107" t="s">
        <v>147</v>
      </c>
    </row>
    <row r="93" spans="1:1">
      <c r="A93" s="2" t="s">
        <v>157</v>
      </c>
    </row>
    <row r="94" spans="1:1">
      <c r="A94" s="109" t="s">
        <v>152</v>
      </c>
    </row>
    <row r="96" spans="1:1">
      <c r="A96" s="152">
        <v>42296</v>
      </c>
    </row>
    <row r="97" spans="1:1">
      <c r="A97" s="2" t="s">
        <v>225</v>
      </c>
    </row>
    <row r="98" spans="1:1">
      <c r="A98" s="2" t="s">
        <v>226</v>
      </c>
    </row>
    <row r="99" spans="1:1">
      <c r="A99" s="2" t="s">
        <v>228</v>
      </c>
    </row>
    <row r="100" spans="1:1">
      <c r="A100" s="2" t="s">
        <v>229</v>
      </c>
    </row>
    <row r="102" spans="1:1">
      <c r="A102" s="152">
        <v>42303</v>
      </c>
    </row>
    <row r="103" spans="1:1" ht="0.75" customHeight="1">
      <c r="A103" s="2" t="s">
        <v>232</v>
      </c>
    </row>
    <row r="104" spans="1:1" ht="47.25" hidden="1" customHeight="1">
      <c r="A104" s="2" t="s">
        <v>233</v>
      </c>
    </row>
    <row r="105" spans="1:1" ht="40.5" hidden="1" customHeight="1">
      <c r="A105" s="2" t="s">
        <v>234</v>
      </c>
    </row>
    <row r="106" spans="1:1" ht="45.75" hidden="1" customHeight="1">
      <c r="A106" s="2" t="s">
        <v>230</v>
      </c>
    </row>
    <row r="107" spans="1:1" ht="58.5" hidden="1" customHeight="1">
      <c r="A107" s="2" t="s">
        <v>231</v>
      </c>
    </row>
    <row r="108" spans="1:1" ht="16.5" customHeight="1">
      <c r="A108" s="2" t="s">
        <v>242</v>
      </c>
    </row>
    <row r="109" spans="1:1" ht="16.5" customHeight="1">
      <c r="A109" s="2" t="s">
        <v>243</v>
      </c>
    </row>
    <row r="110" spans="1:1">
      <c r="A110" s="12" t="s">
        <v>241</v>
      </c>
    </row>
    <row r="111" spans="1:1">
      <c r="A111" s="12" t="s">
        <v>236</v>
      </c>
    </row>
    <row r="112" spans="1:1">
      <c r="A112" s="2" t="s">
        <v>235</v>
      </c>
    </row>
    <row r="113" spans="1:1">
      <c r="A113" s="2" t="s">
        <v>237</v>
      </c>
    </row>
    <row r="114" spans="1:1">
      <c r="A114" s="2" t="s">
        <v>238</v>
      </c>
    </row>
    <row r="115" spans="1:1">
      <c r="A115" s="2" t="s">
        <v>239</v>
      </c>
    </row>
    <row r="117" spans="1:1">
      <c r="A117" s="152">
        <v>42310</v>
      </c>
    </row>
    <row r="118" spans="1:1">
      <c r="A118" s="2" t="s">
        <v>244</v>
      </c>
    </row>
    <row r="119" spans="1:1">
      <c r="A119" s="2" t="s">
        <v>245</v>
      </c>
    </row>
    <row r="120" spans="1:1">
      <c r="A120" s="2" t="s">
        <v>246</v>
      </c>
    </row>
    <row r="121" spans="1:1">
      <c r="A121" s="155" t="s">
        <v>255</v>
      </c>
    </row>
    <row r="122" spans="1:1">
      <c r="A122" s="12" t="s">
        <v>247</v>
      </c>
    </row>
    <row r="123" spans="1:1">
      <c r="A123" s="2" t="s">
        <v>248</v>
      </c>
    </row>
    <row r="124" spans="1:1">
      <c r="A124" s="2" t="s">
        <v>249</v>
      </c>
    </row>
    <row r="125" spans="1:1">
      <c r="A125" s="2" t="s">
        <v>250</v>
      </c>
    </row>
    <row r="126" spans="1:1">
      <c r="A126" s="2" t="s">
        <v>252</v>
      </c>
    </row>
    <row r="127" spans="1:1">
      <c r="A127" s="2" t="s">
        <v>251</v>
      </c>
    </row>
    <row r="129" spans="1:1">
      <c r="A129" s="12" t="s">
        <v>254</v>
      </c>
    </row>
    <row r="130" spans="1:1">
      <c r="A130" s="2" t="s">
        <v>253</v>
      </c>
    </row>
    <row r="132" spans="1:1">
      <c r="A132" s="152">
        <v>42317</v>
      </c>
    </row>
    <row r="133" spans="1:1">
      <c r="A133" s="5" t="s">
        <v>256</v>
      </c>
    </row>
    <row r="134" spans="1:1" ht="31.5" customHeight="1">
      <c r="A134" s="6" t="s">
        <v>257</v>
      </c>
    </row>
    <row r="135" spans="1:1" ht="15.75" customHeight="1">
      <c r="A135" s="2" t="s">
        <v>262</v>
      </c>
    </row>
    <row r="136" spans="1:1" ht="47.25" customHeight="1">
      <c r="A136" s="6" t="s">
        <v>264</v>
      </c>
    </row>
    <row r="137" spans="1:1">
      <c r="A137" s="6" t="s">
        <v>263</v>
      </c>
    </row>
    <row r="138" spans="1:1" ht="27">
      <c r="A138" s="6" t="s">
        <v>258</v>
      </c>
    </row>
    <row r="140" spans="1:1">
      <c r="A140" s="2" t="s">
        <v>259</v>
      </c>
    </row>
    <row r="141" spans="1:1">
      <c r="A141" s="2" t="s">
        <v>260</v>
      </c>
    </row>
    <row r="142" spans="1:1">
      <c r="A142" s="2" t="s">
        <v>261</v>
      </c>
    </row>
    <row r="144" spans="1:1">
      <c r="A144" s="12" t="s">
        <v>266</v>
      </c>
    </row>
    <row r="145" spans="1:1">
      <c r="A145" s="2" t="s">
        <v>267</v>
      </c>
    </row>
    <row r="146" spans="1:1">
      <c r="A146" s="6" t="s">
        <v>269</v>
      </c>
    </row>
    <row r="147" spans="1:1">
      <c r="A147" s="2" t="s">
        <v>268</v>
      </c>
    </row>
    <row r="148" spans="1:1">
      <c r="A148" s="12" t="s">
        <v>272</v>
      </c>
    </row>
    <row r="149" spans="1:1">
      <c r="A149" s="2" t="s">
        <v>270</v>
      </c>
    </row>
    <row r="150" spans="1:1" ht="30" customHeight="1">
      <c r="A150" s="6" t="s">
        <v>271</v>
      </c>
    </row>
    <row r="152" spans="1:1">
      <c r="A152" s="12" t="s">
        <v>273</v>
      </c>
    </row>
    <row r="153" spans="1:1" s="157" customFormat="1">
      <c r="A153" s="156" t="s">
        <v>277</v>
      </c>
    </row>
    <row r="154" spans="1:1" s="157" customFormat="1">
      <c r="A154" s="2" t="s">
        <v>278</v>
      </c>
    </row>
    <row r="155" spans="1:1" s="157" customFormat="1">
      <c r="A155" s="2" t="s">
        <v>279</v>
      </c>
    </row>
    <row r="156" spans="1:1" s="157" customFormat="1">
      <c r="A156" s="6" t="s">
        <v>281</v>
      </c>
    </row>
    <row r="157" spans="1:1" s="157" customFormat="1" ht="17.25" customHeight="1">
      <c r="A157" s="12" t="s">
        <v>272</v>
      </c>
    </row>
    <row r="158" spans="1:1" s="157" customFormat="1" ht="33" customHeight="1">
      <c r="A158" s="8" t="s">
        <v>280</v>
      </c>
    </row>
    <row r="159" spans="1:1">
      <c r="A159" s="2" t="s">
        <v>274</v>
      </c>
    </row>
    <row r="160" spans="1:1">
      <c r="A160" s="2" t="s">
        <v>276</v>
      </c>
    </row>
    <row r="161" spans="1:1">
      <c r="A161" s="2" t="s">
        <v>275</v>
      </c>
    </row>
    <row r="163" spans="1:1">
      <c r="A163" s="12" t="s">
        <v>286</v>
      </c>
    </row>
    <row r="164" spans="1:1">
      <c r="A164" s="160" t="s">
        <v>287</v>
      </c>
    </row>
    <row r="165" spans="1:1">
      <c r="A165" s="160" t="s">
        <v>288</v>
      </c>
    </row>
    <row r="166" spans="1:1">
      <c r="A166" s="160" t="s">
        <v>290</v>
      </c>
    </row>
    <row r="167" spans="1:1">
      <c r="A167" s="160" t="s">
        <v>306</v>
      </c>
    </row>
    <row r="168" spans="1:1">
      <c r="A168" s="12" t="s">
        <v>293</v>
      </c>
    </row>
    <row r="169" spans="1:1">
      <c r="A169" s="12" t="s">
        <v>294</v>
      </c>
    </row>
    <row r="170" spans="1:1">
      <c r="A170" s="12" t="s">
        <v>298</v>
      </c>
    </row>
    <row r="171" spans="1:1" ht="30" customHeight="1">
      <c r="A171" s="8" t="s">
        <v>295</v>
      </c>
    </row>
    <row r="172" spans="1:1" ht="45.75" customHeight="1">
      <c r="A172" s="6" t="s">
        <v>297</v>
      </c>
    </row>
    <row r="173" spans="1:1" ht="18" customHeight="1">
      <c r="A173" s="2" t="s">
        <v>296</v>
      </c>
    </row>
    <row r="175" spans="1:1">
      <c r="A175" s="12" t="s">
        <v>299</v>
      </c>
    </row>
    <row r="176" spans="1:1">
      <c r="A176" s="156" t="s">
        <v>308</v>
      </c>
    </row>
    <row r="177" spans="1:1">
      <c r="A177" s="12" t="s">
        <v>307</v>
      </c>
    </row>
    <row r="178" spans="1:1">
      <c r="A178" s="2" t="s">
        <v>300</v>
      </c>
    </row>
    <row r="179" spans="1:1">
      <c r="A179" s="2" t="s">
        <v>301</v>
      </c>
    </row>
    <row r="180" spans="1:1">
      <c r="A180" s="2" t="s">
        <v>304</v>
      </c>
    </row>
    <row r="181" spans="1:1" s="99" customFormat="1">
      <c r="A181" s="12" t="s">
        <v>302</v>
      </c>
    </row>
    <row r="182" spans="1:1" s="99" customFormat="1">
      <c r="A182" s="12" t="s">
        <v>303</v>
      </c>
    </row>
    <row r="183" spans="1:1">
      <c r="A183" s="2" t="s">
        <v>305</v>
      </c>
    </row>
    <row r="187" spans="1:1">
      <c r="A187" s="12" t="s">
        <v>309</v>
      </c>
    </row>
    <row r="188" spans="1:1">
      <c r="A188" s="2" t="s">
        <v>315</v>
      </c>
    </row>
    <row r="189" spans="1:1" ht="48" customHeight="1">
      <c r="A189" s="6" t="s">
        <v>313</v>
      </c>
    </row>
    <row r="190" spans="1:1" ht="17.25" customHeight="1">
      <c r="A190" s="12" t="s">
        <v>311</v>
      </c>
    </row>
    <row r="191" spans="1:1" ht="15.75" customHeight="1">
      <c r="A191" s="12" t="s">
        <v>312</v>
      </c>
    </row>
    <row r="193" spans="1:1">
      <c r="A193" s="2" t="s">
        <v>317</v>
      </c>
    </row>
    <row r="194" spans="1:1">
      <c r="A194" s="2" t="s">
        <v>323</v>
      </c>
    </row>
    <row r="195" spans="1:1">
      <c r="A195" s="2" t="s">
        <v>320</v>
      </c>
    </row>
    <row r="196" spans="1:1">
      <c r="A196" s="2" t="s">
        <v>321</v>
      </c>
    </row>
    <row r="198" spans="1:1">
      <c r="A198" s="2" t="s">
        <v>318</v>
      </c>
    </row>
    <row r="199" spans="1:1">
      <c r="A199" s="2" t="s">
        <v>322</v>
      </c>
    </row>
    <row r="200" spans="1:1">
      <c r="A200" s="2" t="s">
        <v>319</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codeName="Sheet8"/>
  <dimension ref="A1"/>
  <sheetViews>
    <sheetView zoomScale="97" zoomScaleSheetLayoutView="100" workbookViewId="0">
      <selection activeCell="K25" sqref="K25"/>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ルール＆合計</vt:lpstr>
      <vt:lpstr>デモトレ履歴</vt:lpstr>
      <vt:lpstr>画像3.7～</vt:lpstr>
      <vt:lpstr>画像2.29～</vt:lpstr>
      <vt:lpstr>気づき</vt:lpstr>
      <vt:lpstr>決まり事</vt:lpstr>
      <vt:lpstr>成績表</vt:lpstr>
      <vt:lpstr>気づき2015</vt:lpstr>
      <vt:lpstr>画像_原紙</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2016-03-13T13:57:52Z</dcterms:modified>
</cp:coreProperties>
</file>