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tabRatio="814" activeTab="1"/>
  </bookViews>
  <sheets>
    <sheet name="ルール＆合計" sheetId="3" r:id="rId1"/>
    <sheet name="デモトレ履歴" sheetId="2" r:id="rId2"/>
    <sheet name="画像04.18～29" sheetId="5" r:id="rId3"/>
    <sheet name="気づき" sheetId="21" r:id="rId4"/>
    <sheet name="決まり事 2016.04～" sheetId="34" r:id="rId5"/>
    <sheet name="成績表" sheetId="9" r:id="rId6"/>
    <sheet name="画像04.01～15" sheetId="33" r:id="rId7"/>
    <sheet name="決まり事～2016.03" sheetId="7" r:id="rId8"/>
    <sheet name="気づき2015" sheetId="1" r:id="rId9"/>
    <sheet name="Sheet1" sheetId="35" r:id="rId10"/>
  </sheets>
  <definedNames>
    <definedName name="_xlnm._FilterDatabase" localSheetId="1" hidden="1">デモトレ履歴!$A$1:$Q$129</definedName>
  </definedNames>
  <calcPr calcId="124519"/>
</workbook>
</file>

<file path=xl/calcChain.xml><?xml version="1.0" encoding="utf-8"?>
<calcChain xmlns="http://schemas.openxmlformats.org/spreadsheetml/2006/main">
  <c r="P124" i="2"/>
  <c r="Q122"/>
  <c r="Q121"/>
  <c r="Q120"/>
  <c r="Q119"/>
  <c r="P123"/>
  <c r="S122"/>
  <c r="S121"/>
  <c r="S120"/>
  <c r="S119"/>
  <c r="G63" i="9"/>
  <c r="F63"/>
  <c r="S118" i="2"/>
  <c r="S117"/>
  <c r="S116"/>
  <c r="S115"/>
  <c r="S114"/>
  <c r="C4" i="9"/>
  <c r="P112" i="2"/>
  <c r="P93"/>
  <c r="S102"/>
  <c r="S110"/>
  <c r="S111"/>
  <c r="S109"/>
  <c r="S108"/>
  <c r="S107"/>
  <c r="S106"/>
  <c r="S104"/>
  <c r="S105"/>
  <c r="S101"/>
  <c r="S103"/>
  <c r="S100"/>
  <c r="S99"/>
  <c r="S98"/>
  <c r="S97"/>
  <c r="S96"/>
  <c r="P59"/>
  <c r="S92"/>
  <c r="S91"/>
  <c r="S90"/>
  <c r="S89"/>
  <c r="S88"/>
  <c r="S87"/>
  <c r="S86"/>
  <c r="S85"/>
  <c r="S84"/>
  <c r="S83"/>
  <c r="S82"/>
  <c r="P79"/>
  <c r="P72"/>
  <c r="P28"/>
  <c r="P23"/>
  <c r="P17"/>
  <c r="P8"/>
  <c r="P38"/>
  <c r="P44"/>
  <c r="P50"/>
  <c r="Q4"/>
  <c r="Q5" s="1"/>
  <c r="Q6" s="1"/>
  <c r="Q7" s="1"/>
  <c r="Q10" s="1"/>
  <c r="Q11" s="1"/>
  <c r="Q12" s="1"/>
  <c r="Q13" s="1"/>
  <c r="Q14" s="1"/>
  <c r="Q15" s="1"/>
  <c r="Q16" s="1"/>
  <c r="Q19" s="1"/>
  <c r="Q20" s="1"/>
  <c r="Q21" s="1"/>
  <c r="Q22" s="1"/>
  <c r="Q25" s="1"/>
  <c r="Q26" s="1"/>
  <c r="Q27" s="1"/>
  <c r="Q32" s="1"/>
  <c r="Q33" s="1"/>
  <c r="Q34" s="1"/>
  <c r="Q35" s="1"/>
  <c r="Q36" s="1"/>
  <c r="Q37" s="1"/>
  <c r="Q40" s="1"/>
  <c r="Q41" s="1"/>
  <c r="Q42" s="1"/>
  <c r="Q43" s="1"/>
  <c r="Q46" s="1"/>
  <c r="Q47" s="1"/>
  <c r="Q48" s="1"/>
  <c r="Q49" s="1"/>
  <c r="Q52" s="1"/>
  <c r="Q53" s="1"/>
  <c r="Q54" s="1"/>
  <c r="Q55" s="1"/>
  <c r="Q56" s="1"/>
  <c r="Q57" s="1"/>
  <c r="Q58" s="1"/>
  <c r="Q62" s="1"/>
  <c r="Q63" s="1"/>
  <c r="Q64" s="1"/>
  <c r="Q67" s="1"/>
  <c r="Q68" s="1"/>
  <c r="Q69" s="1"/>
  <c r="Q70" s="1"/>
  <c r="Q71" s="1"/>
  <c r="Q74" s="1"/>
  <c r="Q75" s="1"/>
  <c r="Q76" s="1"/>
  <c r="Q77" s="1"/>
  <c r="Q78" s="1"/>
  <c r="Q82" s="1"/>
  <c r="Q83" s="1"/>
  <c r="Q84" s="1"/>
  <c r="Q85" s="1"/>
  <c r="Q86" s="1"/>
  <c r="Q87" s="1"/>
  <c r="Q88" s="1"/>
  <c r="Q89" s="1"/>
  <c r="Q90" s="1"/>
  <c r="Q91" s="1"/>
  <c r="Q92" s="1"/>
  <c r="Q96" s="1"/>
  <c r="Q97" s="1"/>
  <c r="Q98" s="1"/>
  <c r="Q99" s="1"/>
  <c r="Q100" s="1"/>
  <c r="Q101" s="1"/>
  <c r="Q102" s="1"/>
  <c r="Q103" s="1"/>
  <c r="Q104" s="1"/>
  <c r="Q105" s="1"/>
  <c r="Q106" s="1"/>
  <c r="Q107" s="1"/>
  <c r="Q108" s="1"/>
  <c r="Q109" s="1"/>
  <c r="Q110" s="1"/>
  <c r="Q111" s="1"/>
  <c r="Q114" s="1"/>
  <c r="Q115" s="1"/>
  <c r="Q116" s="1"/>
  <c r="Q117" s="1"/>
  <c r="Q118" s="1"/>
  <c r="P29" l="1"/>
  <c r="P94"/>
  <c r="A46" i="9"/>
  <c r="A47" l="1"/>
  <c r="B46" l="1"/>
  <c r="E46"/>
  <c r="F46"/>
  <c r="G46"/>
  <c r="N46"/>
  <c r="H46"/>
  <c r="H47" s="1"/>
  <c r="C46"/>
  <c r="C47" s="1"/>
  <c r="A48"/>
  <c r="N47" l="1"/>
  <c r="B47"/>
  <c r="F47"/>
  <c r="G47"/>
  <c r="E47"/>
  <c r="J46"/>
  <c r="I46"/>
  <c r="K46"/>
  <c r="D46"/>
  <c r="O46" s="1"/>
  <c r="M46"/>
  <c r="A49"/>
  <c r="E48" l="1"/>
  <c r="B48" s="1"/>
  <c r="G48"/>
  <c r="C48"/>
  <c r="C49" s="1"/>
  <c r="N48"/>
  <c r="H48"/>
  <c r="E49"/>
  <c r="F48"/>
  <c r="L46"/>
  <c r="I47"/>
  <c r="K47"/>
  <c r="A50"/>
  <c r="J47"/>
  <c r="D47"/>
  <c r="O47" s="1"/>
  <c r="M47"/>
  <c r="B49" l="1"/>
  <c r="E50"/>
  <c r="B50" s="1"/>
  <c r="N49"/>
  <c r="H49"/>
  <c r="G49"/>
  <c r="G50" s="1"/>
  <c r="F49"/>
  <c r="A51"/>
  <c r="I48"/>
  <c r="L47"/>
  <c r="F50" l="1"/>
  <c r="H50"/>
  <c r="A52"/>
  <c r="G51" s="1"/>
  <c r="H51" l="1"/>
  <c r="F51"/>
  <c r="E51"/>
  <c r="N50"/>
  <c r="C50"/>
  <c r="A53"/>
  <c r="M48"/>
  <c r="J48"/>
  <c r="D48"/>
  <c r="O48" s="1"/>
  <c r="G52" l="1"/>
  <c r="G53" s="1"/>
  <c r="H52"/>
  <c r="F52"/>
  <c r="E52"/>
  <c r="B52" s="1"/>
  <c r="B51"/>
  <c r="N51"/>
  <c r="C51"/>
  <c r="A54"/>
  <c r="E53" s="1"/>
  <c r="B53" s="1"/>
  <c r="H53" l="1"/>
  <c r="F53"/>
  <c r="N52"/>
  <c r="C52"/>
  <c r="A55"/>
  <c r="E54" s="1"/>
  <c r="B54" s="1"/>
  <c r="K49"/>
  <c r="I49"/>
  <c r="G54" l="1"/>
  <c r="A56"/>
  <c r="H54"/>
  <c r="F54"/>
  <c r="N53"/>
  <c r="C53"/>
  <c r="J49"/>
  <c r="L49" s="1"/>
  <c r="D49"/>
  <c r="O49" s="1"/>
  <c r="M49"/>
  <c r="H55" l="1"/>
  <c r="H56" s="1"/>
  <c r="G55"/>
  <c r="F55"/>
  <c r="A57"/>
  <c r="E55"/>
  <c r="B55" s="1"/>
  <c r="C54"/>
  <c r="N54"/>
  <c r="E56" l="1"/>
  <c r="B56" s="1"/>
  <c r="A58"/>
  <c r="G56"/>
  <c r="F56"/>
  <c r="N55"/>
  <c r="C55"/>
  <c r="I51"/>
  <c r="K51"/>
  <c r="I50"/>
  <c r="K50"/>
  <c r="G57" l="1"/>
  <c r="G58" s="1"/>
  <c r="H57"/>
  <c r="F57"/>
  <c r="E57"/>
  <c r="B57" s="1"/>
  <c r="A59"/>
  <c r="N56"/>
  <c r="C56"/>
  <c r="K52"/>
  <c r="I52"/>
  <c r="J51"/>
  <c r="L51" s="1"/>
  <c r="M51"/>
  <c r="D51"/>
  <c r="J52"/>
  <c r="J50"/>
  <c r="L50" s="1"/>
  <c r="M50"/>
  <c r="D50"/>
  <c r="O50" s="1"/>
  <c r="F58" l="1"/>
  <c r="A60"/>
  <c r="G59" s="1"/>
  <c r="H58"/>
  <c r="E58"/>
  <c r="B58" s="1"/>
  <c r="N57"/>
  <c r="C57"/>
  <c r="O51"/>
  <c r="L52"/>
  <c r="D52"/>
  <c r="K53"/>
  <c r="I53"/>
  <c r="I54"/>
  <c r="K54"/>
  <c r="M52"/>
  <c r="H59" l="1"/>
  <c r="H60" s="1"/>
  <c r="A61"/>
  <c r="G60" s="1"/>
  <c r="E59"/>
  <c r="B59" s="1"/>
  <c r="F59"/>
  <c r="C58"/>
  <c r="O52"/>
  <c r="N58"/>
  <c r="J53"/>
  <c r="L53" s="1"/>
  <c r="D53"/>
  <c r="M53"/>
  <c r="I56"/>
  <c r="K56"/>
  <c r="I55"/>
  <c r="K55"/>
  <c r="J54"/>
  <c r="L54" s="1"/>
  <c r="M54"/>
  <c r="D54"/>
  <c r="H61" l="1"/>
  <c r="H62" s="1"/>
  <c r="H63" s="1"/>
  <c r="G61"/>
  <c r="G62" s="1"/>
  <c r="A63"/>
  <c r="A62"/>
  <c r="F60"/>
  <c r="F61" s="1"/>
  <c r="F62" s="1"/>
  <c r="E60"/>
  <c r="B60" s="1"/>
  <c r="N59"/>
  <c r="C59"/>
  <c r="O53"/>
  <c r="O54" s="1"/>
  <c r="J56"/>
  <c r="L56" s="1"/>
  <c r="D56"/>
  <c r="M56"/>
  <c r="D55"/>
  <c r="M55"/>
  <c r="J55"/>
  <c r="L55" s="1"/>
  <c r="I57"/>
  <c r="K57"/>
  <c r="E61" l="1"/>
  <c r="B61" s="1"/>
  <c r="C60"/>
  <c r="O55"/>
  <c r="O56" s="1"/>
  <c r="N60"/>
  <c r="K59"/>
  <c r="I59"/>
  <c r="J57"/>
  <c r="L57" s="1"/>
  <c r="M57"/>
  <c r="D57"/>
  <c r="I58"/>
  <c r="K58"/>
  <c r="E63" l="1"/>
  <c r="B63" s="1"/>
  <c r="E62"/>
  <c r="B62" s="1"/>
  <c r="C61"/>
  <c r="K61" s="1"/>
  <c r="O57"/>
  <c r="N61"/>
  <c r="I61"/>
  <c r="J58"/>
  <c r="L58" s="1"/>
  <c r="D58"/>
  <c r="M58"/>
  <c r="I60"/>
  <c r="K60"/>
  <c r="M59"/>
  <c r="D59"/>
  <c r="J59"/>
  <c r="L59" s="1"/>
  <c r="C62" l="1"/>
  <c r="K62" s="1"/>
  <c r="O58"/>
  <c r="O59" s="1"/>
  <c r="N62"/>
  <c r="M60"/>
  <c r="J60"/>
  <c r="L60" s="1"/>
  <c r="D60"/>
  <c r="I62"/>
  <c r="M61"/>
  <c r="J61"/>
  <c r="L61" s="1"/>
  <c r="D61"/>
  <c r="N63" l="1"/>
  <c r="C63"/>
  <c r="K63" s="1"/>
  <c r="O60"/>
  <c r="O61" s="1"/>
  <c r="I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l="1"/>
  <c r="J28"/>
  <c r="J10"/>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161" i="2" l="1"/>
  <c r="O152"/>
  <c r="N152"/>
  <c r="M152"/>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<sst xmlns="http://schemas.openxmlformats.org/spreadsheetml/2006/main" count="924" uniqueCount="699">
  <si>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</si>
  <si>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</si>
  <si>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</si>
  <si>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</si>
  <si>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</si>
  <si>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</si>
  <si>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</si>
  <si>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</si>
  <si>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</si>
  <si>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</si>
  <si>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</si>
  <si>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</si>
  <si>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</si>
  <si>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</si>
  <si>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</si>
  <si>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</si>
  <si>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</si>
  <si>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</si>
  <si>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</si>
  <si>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</si>
  <si>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</si>
  <si>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</si>
  <si>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</si>
  <si>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</si>
  <si>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</si>
  <si>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</si>
  <si>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</si>
  <si>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</si>
  <si>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</si>
  <si>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</si>
  <si>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</si>
  <si>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</si>
  <si>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</si>
  <si>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</si>
  <si>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</si>
  <si>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</si>
  <si>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</si>
  <si>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</si>
  <si>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</si>
  <si>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</si>
  <si>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</si>
  <si>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</si>
  <si>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</si>
  <si>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</si>
  <si>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</si>
  <si>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</si>
  <si>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</si>
  <si>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</si>
  <si>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</si>
  <si>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</si>
  <si>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</si>
  <si>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</si>
  <si>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</si>
  <si>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</si>
  <si>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</si>
  <si>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</si>
  <si>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</si>
  <si>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</si>
  <si>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</si>
  <si>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</si>
  <si>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</si>
  <si>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</si>
  <si>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</si>
  <si>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</si>
  <si>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</si>
  <si>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</si>
  <si>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</si>
  <si>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</si>
  <si>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</si>
  <si>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</si>
  <si>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</si>
  <si>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</si>
  <si>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</si>
  <si>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</si>
  <si>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</si>
  <si>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</si>
  <si>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</si>
  <si>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</si>
  <si>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</si>
  <si>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</si>
  <si>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</si>
  <si>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</si>
  <si>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</si>
  <si>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</si>
  <si>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</si>
  <si>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EURGBP</t>
    <phoneticPr fontId="2"/>
  </si>
  <si>
    <t>sell</t>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</si>
  <si>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</si>
  <si>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</si>
  <si>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</si>
  <si>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</si>
  <si>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</si>
  <si>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</si>
  <si>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</si>
  <si>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</si>
  <si>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</si>
  <si>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</si>
  <si>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</si>
  <si>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</si>
  <si>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</si>
  <si>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</si>
  <si>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</si>
  <si>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</si>
  <si>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</si>
  <si>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</si>
  <si>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</si>
  <si>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</si>
  <si>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</si>
  <si>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</si>
  <si>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</si>
  <si>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</si>
  <si>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</si>
  <si>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</si>
  <si>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</si>
  <si>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</si>
  <si>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</si>
  <si>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</si>
  <si>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</si>
  <si>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</si>
  <si>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</si>
  <si>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</si>
  <si>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</si>
  <si>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</si>
  <si>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</si>
  <si>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2015.10.05～</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</si>
  <si>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</si>
  <si>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</si>
  <si>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</si>
  <si>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</si>
  <si>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</si>
  <si>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</si>
  <si>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</si>
  <si>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</si>
  <si>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</si>
  <si>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</si>
  <si>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</si>
  <si>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</si>
  <si>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</si>
  <si>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</si>
  <si>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</si>
  <si>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</si>
  <si>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</si>
  <si>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</si>
  <si>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</si>
  <si>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</si>
  <si>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</si>
  <si>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</si>
  <si>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</si>
  <si>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</si>
  <si>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</si>
  <si>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</si>
  <si>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</si>
  <si>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</si>
  <si>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</si>
  <si>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</si>
  <si>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</si>
  <si>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</si>
  <si>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</si>
  <si>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</si>
  <si>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</si>
  <si>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</si>
  <si>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</si>
  <si>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</si>
  <si>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</si>
  <si>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</si>
  <si>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</si>
  <si>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</si>
  <si>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</si>
  <si>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</si>
  <si>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</si>
  <si>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</si>
  <si>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</si>
  <si>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</si>
  <si>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</si>
  <si>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</si>
  <si>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</si>
  <si>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</si>
  <si>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</si>
  <si>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</si>
  <si>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</si>
  <si>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</si>
  <si>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</si>
  <si>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</si>
  <si>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</si>
  <si>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</si>
  <si>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</si>
  <si>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</si>
  <si>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</si>
  <si>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</si>
  <si>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</si>
  <si>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</si>
  <si>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</si>
  <si>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</si>
  <si>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</si>
  <si>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</si>
  <si>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</si>
  <si>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</si>
  <si>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</si>
  <si>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</si>
  <si>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</si>
  <si>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</si>
  <si>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</si>
  <si>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</si>
  <si>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</si>
  <si>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</si>
  <si>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</si>
  <si>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</si>
  <si>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</si>
  <si>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</si>
  <si>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</si>
  <si>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</si>
  <si>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</si>
  <si>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</si>
  <si>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</si>
  <si>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</si>
  <si>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</si>
  <si>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</si>
  <si>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</si>
  <si>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</si>
  <si>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</si>
  <si>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</si>
  <si>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</si>
  <si>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</si>
  <si>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</si>
  <si>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</si>
  <si>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</si>
  <si>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</si>
  <si>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</si>
  <si>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</si>
  <si>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</si>
  <si>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</si>
  <si>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</si>
  <si>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</si>
  <si>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</si>
  <si>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</si>
  <si>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</si>
  <si>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</si>
  <si>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</si>
  <si>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</si>
  <si>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</si>
  <si>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</si>
  <si>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</si>
  <si>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</si>
  <si>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</si>
  <si>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</si>
  <si>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</si>
  <si>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</si>
  <si>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</si>
  <si>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</si>
  <si>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</si>
  <si>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</si>
  <si>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</si>
  <si>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</si>
  <si>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</si>
  <si>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</si>
  <si>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</si>
  <si>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</si>
  <si>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</si>
  <si>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</si>
  <si>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</si>
  <si>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</si>
  <si>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</si>
  <si>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</si>
  <si>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</si>
  <si>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</si>
  <si>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</si>
  <si>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</si>
  <si>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</si>
  <si>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</si>
  <si>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</si>
  <si>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</si>
  <si>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</si>
  <si>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</si>
  <si>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</si>
  <si>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</si>
  <si>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</si>
  <si>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</si>
  <si>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</si>
  <si>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</si>
  <si>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</si>
  <si>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</si>
  <si>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</si>
  <si>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</si>
  <si>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r>
      <t xml:space="preserve">2015.11.16～
</t>
    </r>
    <r>
      <rPr>
        <sz val="11"/>
        <color theme="3" tint="0.39997558519241921"/>
        <rFont val="ＭＳ Ｐゴシック"/>
        <family val="3"/>
        <charset val="128"/>
      </rPr>
      <t>追記11.30～</t>
    </r>
    <rPh sb="12" eb="14">
      <t>ツイキ</t>
    </rPh>
    <phoneticPr fontId="2"/>
  </si>
  <si>
    <r>
      <t>・週足で引いたS/Rに当たる部分を基本１H足で見る　（15分足でないとFSを逃すこともあるが、まだフェイクを見破れないので諦める）
・原則２回目のFS（セカンドストライク）を狙う。一回目のFSの見極めが重要＝フェイクだけに戻りっぽかったら一回目と数える
・キレイなウェッジを伴ったFSであれば、１回目でも入る
・ヒゲだけ抜けたｗトップ（ボトム）にD/Jが伴った際は、２回目を待たずに入る
・２回目のFSに強いチャートパターンが出てる時は、1回目のFS条件を甘くして数に入れる
・ヒゲだけ抜けたｗトップ（ボトム）にD/Jが伴った際でも、S/Rを割っていなければスルー
・戻りのない相場でも、継続のチャートパターン（主にウェッジ等）が出てたら、逆方向へ抜けてもスルー
・FSの作り方が緩やか</t>
    </r>
    <r>
      <rPr>
        <sz val="11"/>
        <color theme="3" tint="0.39997558519241921"/>
        <rFont val="ＭＳ Ｐゴシック"/>
        <family val="3"/>
        <charset val="128"/>
      </rPr>
      <t>過ぎる</t>
    </r>
    <r>
      <rPr>
        <sz val="11"/>
        <color indexed="8"/>
        <rFont val="ＭＳ Ｐゴシック"/>
        <family val="3"/>
        <charset val="128"/>
      </rPr>
      <t xml:space="preserve">（上昇/下落角度が少ない）時は、FSと認識しない
・S/R抜けてもローソクの動きが上下に激しすぎたりして分かり難い時は、トレードしない
</t>
    </r>
    <r>
      <rPr>
        <sz val="11"/>
        <color theme="3" tint="0.39997558519241921"/>
        <rFont val="ＭＳ Ｐゴシック"/>
        <family val="3"/>
        <charset val="128"/>
      </rPr>
      <t>・決済タイミングはFIB38.2を基準として、手前で頭打ちが確認できれば決済。素直に38.2まで到達したらトレーリング実施。</t>
    </r>
    <rPh sb="343" eb="344">
      <t>ス</t>
    </rPh>
    <rPh sb="431" eb="433">
      <t>キジュン</t>
    </rPh>
    <rPh sb="437" eb="439">
      <t>テマエ</t>
    </rPh>
    <rPh sb="440" eb="442">
      <t>アタマウ</t>
    </rPh>
    <rPh sb="444" eb="446">
      <t>カクニン</t>
    </rPh>
    <rPh sb="450" eb="452">
      <t>ケッサイ</t>
    </rPh>
    <rPh sb="453" eb="455">
      <t>スナオ</t>
    </rPh>
    <rPh sb="462" eb="464">
      <t>トウタツ</t>
    </rPh>
    <rPh sb="473" eb="475">
      <t>ジッシ</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</si>
  <si>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</si>
  <si>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</si>
  <si>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</si>
  <si>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</si>
  <si>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</si>
  <si>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</si>
  <si>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</si>
  <si>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</si>
  <si>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</si>
  <si>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</si>
  <si>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</si>
  <si>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</si>
  <si>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</si>
  <si>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</si>
  <si>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</si>
  <si>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</si>
  <si>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</si>
  <si>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</si>
  <si>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</si>
  <si>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</si>
  <si>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</si>
  <si>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</si>
  <si>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</si>
  <si>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</si>
  <si>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</si>
  <si>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</si>
  <si>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</si>
  <si>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</si>
  <si>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</si>
  <si>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</si>
  <si>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sell</t>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</si>
  <si>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</si>
  <si>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</si>
  <si>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</si>
  <si>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</si>
  <si>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</si>
  <si>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</si>
  <si>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</si>
  <si>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2016年</t>
    <rPh sb="4" eb="5">
      <t>ネン</t>
    </rPh>
    <phoneticPr fontId="2"/>
  </si>
  <si>
    <t>AUDCAD</t>
    <phoneticPr fontId="2"/>
  </si>
  <si>
    <t>AUDUSD</t>
    <phoneticPr fontId="2"/>
  </si>
  <si>
    <t>EURUSD</t>
    <phoneticPr fontId="2"/>
  </si>
  <si>
    <t>buy</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</si>
  <si>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</si>
  <si>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</si>
  <si>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</si>
  <si>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</si>
  <si>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drw</t>
    <phoneticPr fontId="2"/>
  </si>
  <si>
    <t>loss</t>
    <phoneticPr fontId="2"/>
  </si>
  <si>
    <t>・IN判断を精査する時間が無い時はスルー！</t>
    <rPh sb="3" eb="5">
      <t>ハンダン</t>
    </rPh>
    <rPh sb="6" eb="8">
      <t>セイサ</t>
    </rPh>
    <rPh sb="10" eb="12">
      <t>ジカン</t>
    </rPh>
    <rPh sb="13" eb="14">
      <t>ナ</t>
    </rPh>
    <rPh sb="15" eb="16">
      <t>トキ</t>
    </rPh>
    <phoneticPr fontId="2"/>
  </si>
  <si>
    <t>USDCAD</t>
    <phoneticPr fontId="2"/>
  </si>
  <si>
    <t>sell</t>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</si>
  <si>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</si>
  <si>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</si>
  <si>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</si>
  <si>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</si>
  <si>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</si>
  <si>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</si>
  <si>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NZDUSD</t>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</si>
  <si>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</si>
  <si>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</si>
  <si>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EURAUD</t>
    <phoneticPr fontId="2"/>
  </si>
  <si>
    <t>USDCHF</t>
    <phoneticPr fontId="2"/>
  </si>
  <si>
    <t>GBPJPY</t>
    <phoneticPr fontId="2"/>
  </si>
  <si>
    <t>buy</t>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</si>
  <si>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</si>
  <si>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</si>
  <si>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</si>
  <si>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</si>
  <si>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</si>
  <si>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</si>
  <si>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EURGBP</t>
    <phoneticPr fontId="2"/>
  </si>
  <si>
    <t>CADJPY</t>
    <phoneticPr fontId="2"/>
  </si>
  <si>
    <t>EURAUD</t>
    <phoneticPr fontId="2"/>
  </si>
  <si>
    <t>loss</t>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</si>
  <si>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</si>
  <si>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</si>
  <si>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</si>
  <si>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AUDUSD</t>
    <phoneticPr fontId="2"/>
  </si>
  <si>
    <t>GBPUSD</t>
    <phoneticPr fontId="2"/>
  </si>
  <si>
    <t>EURUSD</t>
    <phoneticPr fontId="2"/>
  </si>
  <si>
    <t>sell</t>
    <phoneticPr fontId="2"/>
  </si>
  <si>
    <t>buy</t>
    <phoneticPr fontId="2"/>
  </si>
  <si>
    <t>loss</t>
    <phoneticPr fontId="2"/>
  </si>
  <si>
    <t>win</t>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</si>
  <si>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</si>
  <si>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</si>
  <si>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r>
      <t>2016.01.04</t>
    </r>
    <r>
      <rPr>
        <sz val="11"/>
        <color rgb="FFFF0000"/>
        <rFont val="ＭＳ Ｐゴシック"/>
        <family val="3"/>
        <charset val="128"/>
      </rPr>
      <t xml:space="preserve">
</t>
    </r>
    <r>
      <rPr>
        <b/>
        <sz val="11"/>
        <color rgb="FFFF0000"/>
        <rFont val="ＭＳ Ｐゴシック"/>
        <family val="3"/>
        <charset val="128"/>
      </rPr>
      <t>追記01.２５～</t>
    </r>
    <rPh sb="11" eb="13">
      <t>ツイキ</t>
    </rPh>
    <phoneticPr fontId="2"/>
  </si>
  <si>
    <r>
      <t>　　　　　　　　　　　　　　　　　　　　　　　　　　　　　　　　　　　　　　　　　</t>
    </r>
    <r>
      <rPr>
        <b/>
        <sz val="11"/>
        <color indexed="8"/>
        <rFont val="ＭＳ Ｐゴシック"/>
        <family val="3"/>
        <charset val="128"/>
      </rPr>
      <t>エントリー時</t>
    </r>
    <r>
      <rPr>
        <sz val="11"/>
        <color indexed="8"/>
        <rFont val="ＭＳ Ｐゴシック"/>
        <family val="3"/>
        <charset val="128"/>
      </rPr>
      <t xml:space="preserve">
・週足で引いたS/Rに当たる部分を４H→１H足で確認。ウェッジ/フラッグになっていれば第一条件合格
・ウェッジ/フラッグをブレイク後、１５分</t>
    </r>
    <r>
      <rPr>
        <b/>
        <sz val="11"/>
        <color rgb="FFFF0000"/>
        <rFont val="ＭＳ Ｐゴシック"/>
        <family val="3"/>
        <charset val="128"/>
      </rPr>
      <t>or５分</t>
    </r>
    <r>
      <rPr>
        <sz val="11"/>
        <color indexed="8"/>
        <rFont val="ＭＳ Ｐゴシック"/>
        <family val="3"/>
        <charset val="128"/>
      </rPr>
      <t>足で原則２回目の戻り（セカンドストライク）を狙う。２回目の戻りが</t>
    </r>
    <r>
      <rPr>
        <b/>
        <sz val="11"/>
        <color rgb="FFFF0000"/>
        <rFont val="ＭＳ Ｐゴシック"/>
        <family val="3"/>
        <charset val="128"/>
      </rPr>
      <t>FIBライン接触後→</t>
    </r>
    <r>
      <rPr>
        <sz val="11"/>
        <color indexed="8"/>
        <rFont val="ＭＳ Ｐゴシック"/>
        <family val="3"/>
        <charset val="128"/>
      </rPr>
      <t>ウェッジ
　ブレイク＋</t>
    </r>
    <r>
      <rPr>
        <b/>
        <sz val="11"/>
        <color rgb="FFFF0000"/>
        <rFont val="ＭＳ Ｐゴシック"/>
        <family val="3"/>
        <charset val="128"/>
      </rPr>
      <t>ダウ転換で</t>
    </r>
    <r>
      <rPr>
        <sz val="11"/>
        <color indexed="8"/>
        <rFont val="ＭＳ Ｐゴシック"/>
        <family val="3"/>
        <charset val="128"/>
      </rPr>
      <t>フルリスクIN、それ以外ならロットを落としてINする。
・キレイなウェッジを伴ったFSであれば、１回目でも入る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72" eb="74">
      <t>カクニン</t>
    </rPh>
    <rPh sb="91" eb="93">
      <t>ダイイチ</t>
    </rPh>
    <rPh sb="93" eb="95">
      <t>ジョウケン</t>
    </rPh>
    <rPh sb="95" eb="97">
      <t>ゴウカク</t>
    </rPh>
    <rPh sb="113" eb="114">
      <t>アト</t>
    </rPh>
    <rPh sb="117" eb="118">
      <t>フン</t>
    </rPh>
    <rPh sb="121" eb="122">
      <t>フン</t>
    </rPh>
    <rPh sb="122" eb="123">
      <t>アシ</t>
    </rPh>
    <rPh sb="130" eb="131">
      <t>モド</t>
    </rPh>
    <rPh sb="148" eb="150">
      <t>カイメ</t>
    </rPh>
    <rPh sb="151" eb="152">
      <t>モド</t>
    </rPh>
    <rPh sb="160" eb="162">
      <t>セッショク</t>
    </rPh>
    <rPh sb="162" eb="163">
      <t>ゴ</t>
    </rPh>
    <rPh sb="177" eb="179">
      <t>テンカン</t>
    </rPh>
    <rPh sb="190" eb="192">
      <t>イガイ</t>
    </rPh>
    <rPh sb="198" eb="199">
      <t>オ</t>
    </rPh>
    <rPh sb="247" eb="248">
      <t>ス</t>
    </rPh>
    <rPh sb="292" eb="294">
      <t>キジュン</t>
    </rPh>
    <rPh sb="298" eb="300">
      <t>テマエ</t>
    </rPh>
    <rPh sb="301" eb="303">
      <t>アタマウ</t>
    </rPh>
    <rPh sb="305" eb="307">
      <t>カクニン</t>
    </rPh>
    <rPh sb="311" eb="313">
      <t>ケッサイ</t>
    </rPh>
    <rPh sb="314" eb="316">
      <t>スナオ</t>
    </rPh>
    <rPh sb="323" eb="325">
      <t>トウタツ</t>
    </rPh>
    <rPh sb="334" eb="336">
      <t>ジッシ</t>
    </rPh>
    <rPh sb="348" eb="350">
      <t>ゲンソク</t>
    </rPh>
    <rPh sb="350" eb="352">
      <t>ジョウキ</t>
    </rPh>
    <rPh sb="363" eb="365">
      <t>レイガイ</t>
    </rPh>
    <rPh sb="365" eb="366">
      <t>テキ</t>
    </rPh>
    <rPh sb="369" eb="370">
      <t>アシ</t>
    </rPh>
    <rPh sb="390" eb="391">
      <t>カサ</t>
    </rPh>
    <rPh sb="394" eb="396">
      <t>バアイ</t>
    </rPh>
    <rPh sb="403" eb="404">
      <t>オ</t>
    </rPh>
    <rPh sb="407" eb="408">
      <t>ハイ</t>
    </rPh>
    <phoneticPr fontId="2"/>
  </si>
  <si>
    <r>
      <t>　　　　　　　　　　　　　　　　　　　　　　　　　　　　　　　　　　　　　　　　</t>
    </r>
    <r>
      <rPr>
        <sz val="11"/>
        <color rgb="FFFF0000"/>
        <rFont val="ＭＳ Ｐゴシック"/>
        <family val="3"/>
        <charset val="128"/>
      </rPr>
      <t>　決済時</t>
    </r>
    <r>
      <rPr>
        <sz val="11"/>
        <color indexed="8"/>
        <rFont val="ＭＳ Ｐゴシック"/>
        <family val="3"/>
        <charset val="128"/>
      </rPr>
      <t xml:space="preserve">
</t>
    </r>
    <r>
      <rPr>
        <sz val="11"/>
        <color rgb="FFFF0000"/>
        <rFont val="ＭＳ Ｐゴシック"/>
        <family val="3"/>
        <charset val="128"/>
      </rPr>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・IN後急な伸びが無かった場合、逆行することが多い。建値撤退の準備をする。
・T/Lに支えられて逆行している場合はブレイクを期待して持っていて良いが、T/Lから剥離する急上昇（急下落）になった場合は
　強い逆行となる為、すぐに決済する！</t>
    </r>
    <rPh sb="41" eb="43">
      <t>ケッサイ</t>
    </rPh>
    <rPh sb="43" eb="44">
      <t>ジ</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</si>
  <si>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</si>
  <si>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</si>
  <si>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</si>
  <si>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AUDCHF</t>
    <phoneticPr fontId="2"/>
  </si>
  <si>
    <t>EURAUD</t>
    <phoneticPr fontId="2"/>
  </si>
  <si>
    <t>USDCHF</t>
    <phoneticPr fontId="2"/>
  </si>
  <si>
    <t>CADJPY</t>
    <phoneticPr fontId="2"/>
  </si>
  <si>
    <t>USDJPY</t>
    <phoneticPr fontId="2"/>
  </si>
  <si>
    <t>sell</t>
    <phoneticPr fontId="2"/>
  </si>
  <si>
    <t>buy</t>
    <phoneticPr fontId="2"/>
  </si>
  <si>
    <t>buy</t>
    <phoneticPr fontId="2"/>
  </si>
  <si>
    <t>loss</t>
    <phoneticPr fontId="2"/>
  </si>
  <si>
    <t>drw</t>
    <phoneticPr fontId="2"/>
  </si>
  <si>
    <t>loss</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</si>
  <si>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</si>
  <si>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</si>
  <si>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</si>
  <si>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GBPJPY</t>
    <phoneticPr fontId="2"/>
  </si>
  <si>
    <t>NZDCAD</t>
    <phoneticPr fontId="2"/>
  </si>
  <si>
    <t>EURGBP</t>
    <phoneticPr fontId="2"/>
  </si>
  <si>
    <t>buy</t>
    <phoneticPr fontId="2"/>
  </si>
  <si>
    <t>sell</t>
    <phoneticPr fontId="2"/>
  </si>
  <si>
    <t>loss</t>
    <phoneticPr fontId="2"/>
  </si>
  <si>
    <t>win</t>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</si>
  <si>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</si>
  <si>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</si>
  <si>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</si>
  <si>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</si>
  <si>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</si>
  <si>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</si>
  <si>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EURJPY</t>
    <phoneticPr fontId="2"/>
  </si>
  <si>
    <t>GBPJPY</t>
    <phoneticPr fontId="2"/>
  </si>
  <si>
    <t>EURCHF</t>
    <phoneticPr fontId="2"/>
  </si>
  <si>
    <t>sell</t>
    <phoneticPr fontId="2"/>
  </si>
  <si>
    <t>buy</t>
    <phoneticPr fontId="2"/>
  </si>
  <si>
    <t>win</t>
    <phoneticPr fontId="2"/>
  </si>
  <si>
    <t>loss</t>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</si>
  <si>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</si>
  <si>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</si>
  <si>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</si>
  <si>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2.22～</t>
    <phoneticPr fontId="2"/>
  </si>
  <si>
    <t>USDJPY</t>
    <phoneticPr fontId="2"/>
  </si>
  <si>
    <t>USDCHF</t>
    <phoneticPr fontId="2"/>
  </si>
  <si>
    <t>EURCHF</t>
    <phoneticPr fontId="2"/>
  </si>
  <si>
    <t>sell</t>
    <phoneticPr fontId="2"/>
  </si>
  <si>
    <t>win</t>
    <phoneticPr fontId="2"/>
  </si>
  <si>
    <t>loss</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</si>
  <si>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</si>
  <si>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</si>
  <si>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</si>
  <si>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r>
      <t>　　　　　　　　　　　　　　　　　　　　　　　　　　　　　　　　　　　　　　　　　</t>
    </r>
    <r>
      <rPr>
        <b/>
        <sz val="11"/>
        <color indexed="8"/>
        <rFont val="ＭＳ Ｐゴシック"/>
        <family val="3"/>
        <charset val="128"/>
      </rPr>
      <t>エントリー時</t>
    </r>
    <r>
      <rPr>
        <sz val="11"/>
        <color indexed="8"/>
        <rFont val="ＭＳ Ｐゴシック"/>
        <family val="3"/>
        <charset val="128"/>
      </rPr>
      <t xml:space="preserve">
・４H足以上でトレンドの向きを確認→１H足レベルで逆行してウェッジ/フラッグになっていれば第一条件合格
・ウェッジ/フラッグをブレイク後、１５分足で原則２回目の戻り（セカンドストライク）を狙う。２回目の戻りが</t>
    </r>
    <r>
      <rPr>
        <b/>
        <sz val="11"/>
        <rFont val="ＭＳ Ｐゴシック"/>
        <family val="3"/>
        <charset val="128"/>
      </rPr>
      <t>FIBライン接触後→</t>
    </r>
    <r>
      <rPr>
        <sz val="11"/>
        <rFont val="ＭＳ Ｐゴシック"/>
        <family val="3"/>
        <charset val="128"/>
      </rPr>
      <t>ウェッジ
　ブレイク＋</t>
    </r>
    <r>
      <rPr>
        <b/>
        <sz val="11"/>
        <rFont val="ＭＳ Ｐゴシック"/>
        <family val="3"/>
        <charset val="128"/>
      </rPr>
      <t>ダウ転換で</t>
    </r>
    <r>
      <rPr>
        <sz val="11"/>
        <rFont val="ＭＳ Ｐゴシック"/>
        <family val="3"/>
        <charset val="128"/>
      </rPr>
      <t>フルリスクIN、それ以外ならロットを落としてINする。</t>
    </r>
    <r>
      <rPr>
        <sz val="11"/>
        <color indexed="8"/>
        <rFont val="ＭＳ Ｐゴシック"/>
        <family val="3"/>
        <charset val="128"/>
      </rPr>
      <t xml:space="preserve">
・</t>
    </r>
    <r>
      <rPr>
        <b/>
        <sz val="11"/>
        <color rgb="FFFF0000"/>
        <rFont val="ＭＳ Ｐゴシック"/>
        <family val="3"/>
        <charset val="128"/>
      </rPr>
      <t>角度が適度に緩やかで</t>
    </r>
    <r>
      <rPr>
        <sz val="11"/>
        <color indexed="8"/>
        <rFont val="ＭＳ Ｐゴシック"/>
        <family val="3"/>
        <charset val="128"/>
      </rPr>
      <t>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51" eb="52">
      <t>アシ</t>
    </rPh>
    <rPh sb="52" eb="54">
      <t>イジョウ</t>
    </rPh>
    <rPh sb="60" eb="61">
      <t>ム</t>
    </rPh>
    <rPh sb="63" eb="65">
      <t>カクニン</t>
    </rPh>
    <rPh sb="73" eb="74">
      <t>ギャク</t>
    </rPh>
    <rPh sb="93" eb="95">
      <t>ダイイチ</t>
    </rPh>
    <rPh sb="95" eb="97">
      <t>ジョウケン</t>
    </rPh>
    <rPh sb="97" eb="99">
      <t>ゴウカク</t>
    </rPh>
    <rPh sb="115" eb="116">
      <t>アト</t>
    </rPh>
    <rPh sb="119" eb="120">
      <t>フン</t>
    </rPh>
    <rPh sb="120" eb="121">
      <t>アシ</t>
    </rPh>
    <rPh sb="128" eb="129">
      <t>モド</t>
    </rPh>
    <rPh sb="146" eb="148">
      <t>カイメ</t>
    </rPh>
    <rPh sb="149" eb="150">
      <t>モド</t>
    </rPh>
    <rPh sb="158" eb="160">
      <t>セッショク</t>
    </rPh>
    <rPh sb="160" eb="161">
      <t>ゴ</t>
    </rPh>
    <rPh sb="175" eb="177">
      <t>テンカン</t>
    </rPh>
    <rPh sb="188" eb="190">
      <t>イガイ</t>
    </rPh>
    <rPh sb="196" eb="197">
      <t>オ</t>
    </rPh>
    <rPh sb="207" eb="209">
      <t>カクド</t>
    </rPh>
    <rPh sb="210" eb="212">
      <t>テキド</t>
    </rPh>
    <rPh sb="213" eb="214">
      <t>ユル</t>
    </rPh>
    <rPh sb="256" eb="257">
      <t>ス</t>
    </rPh>
    <rPh sb="301" eb="303">
      <t>キジュン</t>
    </rPh>
    <rPh sb="307" eb="309">
      <t>テマエ</t>
    </rPh>
    <rPh sb="310" eb="312">
      <t>アタマウ</t>
    </rPh>
    <rPh sb="314" eb="316">
      <t>カクニン</t>
    </rPh>
    <rPh sb="320" eb="322">
      <t>ケッサイ</t>
    </rPh>
    <rPh sb="323" eb="325">
      <t>スナオ</t>
    </rPh>
    <rPh sb="332" eb="334">
      <t>トウタツ</t>
    </rPh>
    <rPh sb="343" eb="345">
      <t>ジッシ</t>
    </rPh>
    <rPh sb="357" eb="359">
      <t>ゲンソク</t>
    </rPh>
    <rPh sb="359" eb="361">
      <t>ジョウキ</t>
    </rPh>
    <rPh sb="372" eb="374">
      <t>レイガイ</t>
    </rPh>
    <rPh sb="374" eb="375">
      <t>テキ</t>
    </rPh>
    <rPh sb="378" eb="379">
      <t>アシ</t>
    </rPh>
    <rPh sb="399" eb="400">
      <t>カサ</t>
    </rPh>
    <rPh sb="403" eb="405">
      <t>バアイ</t>
    </rPh>
    <rPh sb="412" eb="413">
      <t>オ</t>
    </rPh>
    <rPh sb="416" eb="417">
      <t>ハイ</t>
    </rPh>
    <phoneticPr fontId="2"/>
  </si>
  <si>
    <r>
      <rPr>
        <sz val="11"/>
        <rFont val="ＭＳ Ｐゴシック"/>
        <family val="3"/>
        <charset val="128"/>
      </rPr>
      <t xml:space="preserve">　　　　　　　　　　　　　　　　　　　　　　　　　　　　　　　　　　　　　　　　　決済時
・毎週週明け最初の勝ちトレードは、その週の相場の伸びを探る為、まず直近にあるS/Rをターゲットにして早めに利確する。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t>
    </r>
    <r>
      <rPr>
        <b/>
        <sz val="11"/>
        <color rgb="FFFF0000"/>
        <rFont val="ＭＳ Ｐゴシック"/>
        <family val="3"/>
        <charset val="128"/>
      </rPr>
      <t>・IN後急な伸びが無かった場合、逆行することが多い。建値撤退の準備をする。</t>
    </r>
    <r>
      <rPr>
        <sz val="11"/>
        <rFont val="ＭＳ Ｐゴシック"/>
        <family val="3"/>
        <charset val="128"/>
      </rPr>
      <t xml:space="preserve">
・T/Lに支えられて逆行している場合はブレイクを期待して持っていて良いが、T/Lから剥離する急上昇（急下落）になった場合は
　強い逆行となる為、すぐに決済する！</t>
    </r>
    <r>
      <rPr>
        <sz val="11"/>
        <color rgb="FFFF0000"/>
        <rFont val="ＭＳ Ｐゴシック"/>
        <family val="3"/>
        <charset val="128"/>
      </rPr>
      <t xml:space="preserve">
・100pips以上伸びた場合、当日中に決済する。</t>
    </r>
    <rPh sb="41" eb="43">
      <t>ケッサイ</t>
    </rPh>
    <rPh sb="43" eb="44">
      <t>ジ</t>
    </rPh>
    <rPh sb="283" eb="285">
      <t>イジョウ</t>
    </rPh>
    <rPh sb="285" eb="286">
      <t>ノ</t>
    </rPh>
    <rPh sb="288" eb="290">
      <t>バアイ</t>
    </rPh>
    <rPh sb="291" eb="293">
      <t>トウジツ</t>
    </rPh>
    <rPh sb="293" eb="294">
      <t>チュウ</t>
    </rPh>
    <rPh sb="295" eb="297">
      <t>ケッサイ</t>
    </rPh>
    <phoneticPr fontId="2"/>
  </si>
  <si>
    <t>2016.02.28</t>
    <phoneticPr fontId="2"/>
  </si>
  <si>
    <t>２月</t>
    <rPh sb="1" eb="2">
      <t>ガツ</t>
    </rPh>
    <phoneticPr fontId="2"/>
  </si>
  <si>
    <t>1月</t>
    <rPh sb="1" eb="2">
      <t>ガツ</t>
    </rPh>
    <phoneticPr fontId="2"/>
  </si>
  <si>
    <t>１月合計</t>
    <rPh sb="1" eb="2">
      <t>ガツ</t>
    </rPh>
    <rPh sb="2" eb="4">
      <t>ゴウケイ</t>
    </rPh>
    <phoneticPr fontId="2"/>
  </si>
  <si>
    <t>２月合計</t>
    <rPh sb="1" eb="2">
      <t>ガツ</t>
    </rPh>
    <rPh sb="2" eb="4">
      <t>ゴウケイ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</si>
  <si>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</si>
  <si>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</si>
  <si>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</si>
  <si>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</si>
  <si>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</si>
  <si>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CADCHF</t>
    <phoneticPr fontId="2"/>
  </si>
  <si>
    <t>EURCHF</t>
    <phoneticPr fontId="2"/>
  </si>
  <si>
    <t>USDCHF</t>
    <phoneticPr fontId="2"/>
  </si>
  <si>
    <t>sell</t>
    <phoneticPr fontId="2"/>
  </si>
  <si>
    <t>loss</t>
    <phoneticPr fontId="2"/>
  </si>
  <si>
    <t>drw</t>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</si>
  <si>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</si>
  <si>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</si>
  <si>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</si>
  <si>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</si>
  <si>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</si>
  <si>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</si>
  <si>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</si>
  <si>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</si>
  <si>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3月</t>
    <rPh sb="1" eb="2">
      <t>ガツ</t>
    </rPh>
    <phoneticPr fontId="2"/>
  </si>
  <si>
    <t>EURGBP</t>
    <phoneticPr fontId="2"/>
  </si>
  <si>
    <t>AUDCHF</t>
    <phoneticPr fontId="2"/>
  </si>
  <si>
    <t>drw</t>
    <phoneticPr fontId="2"/>
  </si>
  <si>
    <t>loss</t>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</si>
  <si>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</si>
  <si>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</si>
  <si>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</si>
  <si>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</si>
  <si>
    <t>EURJPY</t>
    <phoneticPr fontId="2"/>
  </si>
  <si>
    <t>buy</t>
    <phoneticPr fontId="2"/>
  </si>
  <si>
    <t>win</t>
    <phoneticPr fontId="2"/>
  </si>
  <si>
    <t>AUDJPY</t>
    <phoneticPr fontId="2"/>
  </si>
  <si>
    <t>NZDJPY</t>
    <phoneticPr fontId="2"/>
  </si>
  <si>
    <t>sell</t>
    <phoneticPr fontId="2"/>
  </si>
  <si>
    <t>loss</t>
    <phoneticPr fontId="2"/>
  </si>
  <si>
    <t>drw</t>
    <phoneticPr fontId="2"/>
  </si>
  <si>
    <t>※55</t>
    <phoneticPr fontId="2"/>
  </si>
  <si>
    <t>NZDJPY</t>
    <phoneticPr fontId="2"/>
  </si>
  <si>
    <t>USDJPY</t>
    <phoneticPr fontId="2"/>
  </si>
  <si>
    <t>EURGBP</t>
    <phoneticPr fontId="2"/>
  </si>
  <si>
    <t>GBPJPY</t>
    <phoneticPr fontId="2"/>
  </si>
  <si>
    <t>CADJPY</t>
    <phoneticPr fontId="2"/>
  </si>
  <si>
    <t>GBPAUD</t>
    <phoneticPr fontId="2"/>
  </si>
  <si>
    <t>buy</t>
    <phoneticPr fontId="2"/>
  </si>
  <si>
    <t>sell</t>
    <phoneticPr fontId="2"/>
  </si>
  <si>
    <t>drw</t>
    <phoneticPr fontId="2"/>
  </si>
  <si>
    <t>loss</t>
    <phoneticPr fontId="2"/>
  </si>
  <si>
    <t>win</t>
    <phoneticPr fontId="2"/>
  </si>
  <si>
    <t>3月合計</t>
    <rPh sb="1" eb="2">
      <t>ガツ</t>
    </rPh>
    <rPh sb="2" eb="4">
      <t>ゴウケイ</t>
    </rPh>
    <phoneticPr fontId="2"/>
  </si>
  <si>
    <t>番外EURUSD</t>
    <rPh sb="0" eb="2">
      <t>バンガイ</t>
    </rPh>
    <phoneticPr fontId="2"/>
  </si>
  <si>
    <t>CADJPY</t>
    <phoneticPr fontId="2"/>
  </si>
  <si>
    <t>EURNZD</t>
    <phoneticPr fontId="2"/>
  </si>
  <si>
    <t>EURCAD</t>
    <phoneticPr fontId="2"/>
  </si>
  <si>
    <t>AUDUSD</t>
    <phoneticPr fontId="2"/>
  </si>
  <si>
    <t>AUDCAD</t>
    <phoneticPr fontId="2"/>
  </si>
  <si>
    <t>sell</t>
    <phoneticPr fontId="2"/>
  </si>
  <si>
    <t>buy</t>
    <phoneticPr fontId="2"/>
  </si>
  <si>
    <t>win</t>
    <phoneticPr fontId="2"/>
  </si>
  <si>
    <t>drw</t>
    <phoneticPr fontId="2"/>
  </si>
  <si>
    <t>loss</t>
    <phoneticPr fontId="2"/>
  </si>
  <si>
    <t>EURGBP</t>
    <phoneticPr fontId="2"/>
  </si>
  <si>
    <t>USDJPY</t>
    <phoneticPr fontId="2"/>
  </si>
  <si>
    <t>NZDJPY</t>
    <phoneticPr fontId="2"/>
  </si>
  <si>
    <t>USDCHF</t>
    <phoneticPr fontId="2"/>
  </si>
  <si>
    <t>GBPCAD</t>
    <phoneticPr fontId="2"/>
  </si>
  <si>
    <t>EURAUD</t>
    <phoneticPr fontId="2"/>
  </si>
  <si>
    <t>4月</t>
    <rPh sb="1" eb="2">
      <t>ガツ</t>
    </rPh>
    <phoneticPr fontId="2"/>
  </si>
  <si>
    <t>7勝3敗6分</t>
    <rPh sb="1" eb="2">
      <t>ショウ</t>
    </rPh>
    <rPh sb="3" eb="4">
      <t>ハイ</t>
    </rPh>
    <rPh sb="5" eb="6">
      <t>ワ</t>
    </rPh>
    <phoneticPr fontId="2"/>
  </si>
  <si>
    <t>4.1～</t>
    <phoneticPr fontId="2"/>
  </si>
  <si>
    <t>SW（笹田さんｗトップ/ボトム）恐るべし！！自分のルールより確実に勝てる。
「確実に稼ぎたい」＝この手法に絞るべき。</t>
    <rPh sb="3" eb="5">
      <t>ササダ</t>
    </rPh>
    <rPh sb="16" eb="17">
      <t>オソ</t>
    </rPh>
    <rPh sb="22" eb="24">
      <t>ジブン</t>
    </rPh>
    <rPh sb="30" eb="32">
      <t>カクジツ</t>
    </rPh>
    <rPh sb="33" eb="34">
      <t>カ</t>
    </rPh>
    <rPh sb="39" eb="41">
      <t>カクジツ</t>
    </rPh>
    <rPh sb="42" eb="43">
      <t>カセ</t>
    </rPh>
    <rPh sb="50" eb="52">
      <t>シュホウ</t>
    </rPh>
    <rPh sb="53" eb="54">
      <t>シボ</t>
    </rPh>
    <phoneticPr fontId="2"/>
  </si>
  <si>
    <t>ただ、完璧なSWを求めると出現回数が多くないので、このデモトレでは少しルールを緩めてINして
それでも負けない方法を身につけたい。</t>
    <rPh sb="3" eb="5">
      <t>カンペキ</t>
    </rPh>
    <rPh sb="9" eb="10">
      <t>モト</t>
    </rPh>
    <rPh sb="13" eb="15">
      <t>シュツゲン</t>
    </rPh>
    <rPh sb="15" eb="17">
      <t>カイスウ</t>
    </rPh>
    <rPh sb="18" eb="19">
      <t>オオ</t>
    </rPh>
    <rPh sb="33" eb="34">
      <t>スコ</t>
    </rPh>
    <rPh sb="39" eb="40">
      <t>ユル</t>
    </rPh>
    <rPh sb="51" eb="52">
      <t>マ</t>
    </rPh>
    <rPh sb="55" eb="57">
      <t>ホウホウ</t>
    </rPh>
    <rPh sb="58" eb="59">
      <t>ミ</t>
    </rPh>
    <phoneticPr fontId="2"/>
  </si>
  <si>
    <t>上記方法＝SWの亜種も含めればトレードチャンスはかなり多そう。←しっかり絞ることも考えていく。</t>
    <rPh sb="0" eb="2">
      <t>ジョウキ</t>
    </rPh>
    <rPh sb="2" eb="4">
      <t>ホウホウ</t>
    </rPh>
    <rPh sb="8" eb="10">
      <t>アシュ</t>
    </rPh>
    <rPh sb="11" eb="12">
      <t>フク</t>
    </rPh>
    <rPh sb="27" eb="28">
      <t>オオ</t>
    </rPh>
    <rPh sb="36" eb="37">
      <t>シボ</t>
    </rPh>
    <rPh sb="41" eb="42">
      <t>カンガ</t>
    </rPh>
    <phoneticPr fontId="2"/>
  </si>
  <si>
    <t>SW亜種の場合はリスクを落とす＆完璧なSWの場合ならしっかりリスクをかけていく！</t>
    <rPh sb="2" eb="4">
      <t>アシュ</t>
    </rPh>
    <rPh sb="5" eb="7">
      <t>バアイ</t>
    </rPh>
    <rPh sb="12" eb="13">
      <t>オ</t>
    </rPh>
    <rPh sb="16" eb="18">
      <t>カンペキ</t>
    </rPh>
    <rPh sb="22" eb="24">
      <t>バアイ</t>
    </rPh>
    <phoneticPr fontId="2"/>
  </si>
  <si>
    <t>2016.04.01～
（04.10辺りから100%SWのみ）</t>
    <rPh sb="18" eb="19">
      <t>アタ</t>
    </rPh>
    <phoneticPr fontId="2"/>
  </si>
  <si>
    <t>No.1の続き</t>
    <phoneticPr fontId="2"/>
  </si>
  <si>
    <r>
      <t>　　　　　　　　　　　　　　　　　　　　　　　　　　　　　　　　　　　</t>
    </r>
    <r>
      <rPr>
        <b/>
        <sz val="11"/>
        <color indexed="8"/>
        <rFont val="ＭＳ Ｐゴシック"/>
        <family val="3"/>
        <charset val="128"/>
      </rPr>
      <t>SW（笹田さんWトップ/ボトム）</t>
    </r>
    <r>
      <rPr>
        <sz val="11"/>
        <color indexed="8"/>
        <rFont val="ＭＳ Ｐゴシック"/>
        <family val="3"/>
        <charset val="128"/>
      </rPr>
      <t xml:space="preserve">
</t>
    </r>
    <r>
      <rPr>
        <b/>
        <sz val="11"/>
        <color indexed="8"/>
        <rFont val="ＭＳ Ｐゴシック"/>
        <family val="3"/>
        <charset val="128"/>
      </rPr>
      <t>・原則ローソク足の右側が行き過ぎ+D/Jが出ているWトップ/ボトムを狙う。←これは絶対条件</t>
    </r>
    <r>
      <rPr>
        <sz val="11"/>
        <color indexed="8"/>
        <rFont val="ＭＳ Ｐゴシック"/>
        <family val="3"/>
        <charset val="128"/>
      </rPr>
      <t xml:space="preserve">
・SWができている手前のトレンドが長く継続していること＆SWの中腹がトレンド長さに対しFIB23.6付近で止まっていること。
　（FIB23.6と38.2の中間を過ぎてしまっていればスルー）
・SW部分のカタチがガタガタしていないこと。
・FIB-61.8で必ず決済する。←安定して勝つなら必須！
・SWができたところで強いS/Rに当たっていればリスクをかける。
・似た動きをする通貨ペアを有効に使う。
・手前のトレンド継続が短い時、SW部分のカタチが悪い時等は、FIB61.8の手前で反転する可能性が高いと考える。
　→-61.8より若干手前にターゲット設定する。
・SW形成後、高値/安値を更新すれば基本は条件解除。
・完璧なSWルールに合致していない場合はリスクを落として入る。</t>
    </r>
    <rPh sb="53" eb="55">
      <t>ゲンソク</t>
    </rPh>
    <rPh sb="59" eb="60">
      <t>アシ</t>
    </rPh>
    <rPh sb="61" eb="63">
      <t>ミギガワ</t>
    </rPh>
    <rPh sb="64" eb="65">
      <t>イ</t>
    </rPh>
    <rPh sb="66" eb="67">
      <t>ス</t>
    </rPh>
    <rPh sb="73" eb="74">
      <t>デ</t>
    </rPh>
    <rPh sb="86" eb="87">
      <t>ネラ</t>
    </rPh>
    <rPh sb="93" eb="95">
      <t>ゼッタイ</t>
    </rPh>
    <rPh sb="95" eb="97">
      <t>ジョウケン</t>
    </rPh>
    <rPh sb="107" eb="109">
      <t>テマエ</t>
    </rPh>
    <rPh sb="115" eb="116">
      <t>ナガ</t>
    </rPh>
    <rPh sb="117" eb="119">
      <t>ケイゾク</t>
    </rPh>
    <rPh sb="129" eb="131">
      <t>チュウフク</t>
    </rPh>
    <rPh sb="136" eb="137">
      <t>ナガ</t>
    </rPh>
    <rPh sb="139" eb="140">
      <t>タイ</t>
    </rPh>
    <rPh sb="148" eb="150">
      <t>フキン</t>
    </rPh>
    <rPh sb="151" eb="152">
      <t>ト</t>
    </rPh>
    <rPh sb="176" eb="178">
      <t>チュウカン</t>
    </rPh>
    <rPh sb="179" eb="180">
      <t>ス</t>
    </rPh>
    <rPh sb="197" eb="199">
      <t>ブブン</t>
    </rPh>
    <rPh sb="227" eb="228">
      <t>カナラ</t>
    </rPh>
    <rPh sb="229" eb="231">
      <t>ケッサイ</t>
    </rPh>
    <rPh sb="235" eb="237">
      <t>アンテイ</t>
    </rPh>
    <rPh sb="239" eb="240">
      <t>カ</t>
    </rPh>
    <rPh sb="243" eb="245">
      <t>ヒッス</t>
    </rPh>
    <rPh sb="259" eb="260">
      <t>ツヨ</t>
    </rPh>
    <rPh sb="265" eb="266">
      <t>ア</t>
    </rPh>
    <rPh sb="282" eb="283">
      <t>ニ</t>
    </rPh>
    <rPh sb="284" eb="285">
      <t>ウゴ</t>
    </rPh>
    <rPh sb="289" eb="291">
      <t>ツウカ</t>
    </rPh>
    <rPh sb="294" eb="296">
      <t>ユウコウ</t>
    </rPh>
    <rPh sb="297" eb="298">
      <t>ツカ</t>
    </rPh>
    <rPh sb="303" eb="305">
      <t>テマエ</t>
    </rPh>
    <rPh sb="310" eb="312">
      <t>ケイゾク</t>
    </rPh>
    <rPh sb="313" eb="314">
      <t>ミジカ</t>
    </rPh>
    <rPh sb="315" eb="316">
      <t>トキ</t>
    </rPh>
    <rPh sb="319" eb="321">
      <t>ブブン</t>
    </rPh>
    <rPh sb="326" eb="327">
      <t>ワル</t>
    </rPh>
    <rPh sb="328" eb="329">
      <t>トキ</t>
    </rPh>
    <rPh sb="329" eb="330">
      <t>ナド</t>
    </rPh>
    <rPh sb="340" eb="342">
      <t>テマエ</t>
    </rPh>
    <rPh sb="343" eb="345">
      <t>ハンテン</t>
    </rPh>
    <rPh sb="347" eb="350">
      <t>カノウセイ</t>
    </rPh>
    <rPh sb="351" eb="352">
      <t>タカ</t>
    </rPh>
    <rPh sb="354" eb="355">
      <t>カンガ</t>
    </rPh>
    <rPh sb="368" eb="370">
      <t>ジャッカン</t>
    </rPh>
    <rPh sb="370" eb="372">
      <t>テマエ</t>
    </rPh>
    <rPh sb="378" eb="380">
      <t>セッテイ</t>
    </rPh>
    <rPh sb="387" eb="389">
      <t>ケイセイ</t>
    </rPh>
    <rPh sb="389" eb="390">
      <t>ゴ</t>
    </rPh>
    <rPh sb="391" eb="393">
      <t>タカネ</t>
    </rPh>
    <rPh sb="394" eb="396">
      <t>ヤスネ</t>
    </rPh>
    <rPh sb="397" eb="399">
      <t>コウシン</t>
    </rPh>
    <rPh sb="402" eb="404">
      <t>キホン</t>
    </rPh>
    <rPh sb="405" eb="407">
      <t>ジョウケン</t>
    </rPh>
    <rPh sb="407" eb="409">
      <t>カイジョ</t>
    </rPh>
    <rPh sb="412" eb="414">
      <t>カンペキ</t>
    </rPh>
    <rPh sb="421" eb="423">
      <t>ガッチ</t>
    </rPh>
    <rPh sb="428" eb="430">
      <t>バアイ</t>
    </rPh>
    <rPh sb="435" eb="436">
      <t>オ</t>
    </rPh>
    <rPh sb="439" eb="440">
      <t>ハイ</t>
    </rPh>
    <phoneticPr fontId="2"/>
  </si>
  <si>
    <t>継続していくならターゲットFIB-61.8設定は最重要！レンジ後更に伸びたとしても、揉み合いのストレスは歓迎できない。</t>
    <rPh sb="0" eb="2">
      <t>ケイゾク</t>
    </rPh>
    <rPh sb="21" eb="23">
      <t>セッテイ</t>
    </rPh>
    <rPh sb="24" eb="27">
      <t>サイジュウヨウ</t>
    </rPh>
    <rPh sb="31" eb="32">
      <t>ゴ</t>
    </rPh>
    <rPh sb="32" eb="33">
      <t>サラ</t>
    </rPh>
    <rPh sb="34" eb="35">
      <t>ノ</t>
    </rPh>
    <rPh sb="42" eb="43">
      <t>モ</t>
    </rPh>
    <rPh sb="44" eb="45">
      <t>ア</t>
    </rPh>
    <rPh sb="52" eb="54">
      <t>カンゲイ</t>
    </rPh>
    <phoneticPr fontId="2"/>
  </si>
  <si>
    <t>ターゲット設定時はFIB-61,8位置からスプレッド分をしっかり引く。更に、SWの確度が低ければそれに見合った分手前に設定。</t>
    <rPh sb="5" eb="7">
      <t>セッテイ</t>
    </rPh>
    <rPh sb="7" eb="8">
      <t>ジ</t>
    </rPh>
    <rPh sb="17" eb="19">
      <t>イチ</t>
    </rPh>
    <rPh sb="26" eb="27">
      <t>フン</t>
    </rPh>
    <rPh sb="32" eb="33">
      <t>ヒ</t>
    </rPh>
    <rPh sb="35" eb="36">
      <t>サラ</t>
    </rPh>
    <rPh sb="41" eb="43">
      <t>カクド</t>
    </rPh>
    <rPh sb="44" eb="45">
      <t>ヒク</t>
    </rPh>
    <rPh sb="51" eb="53">
      <t>ミア</t>
    </rPh>
    <rPh sb="55" eb="56">
      <t>フン</t>
    </rPh>
    <rPh sb="56" eb="58">
      <t>テマエ</t>
    </rPh>
    <rPh sb="59" eb="61">
      <t>セッテイ</t>
    </rPh>
    <phoneticPr fontId="2"/>
  </si>
  <si>
    <t>SWの確度によってリスクを制御する</t>
    <rPh sb="3" eb="5">
      <t>カクド</t>
    </rPh>
    <rPh sb="13" eb="15">
      <t>セイギョ</t>
    </rPh>
    <phoneticPr fontId="2"/>
  </si>
  <si>
    <t>SWの確度によってターゲット位置を制御する</t>
    <rPh sb="14" eb="16">
      <t>イチ</t>
    </rPh>
    <phoneticPr fontId="2"/>
  </si>
  <si>
    <t>16.01.04.03</t>
    <phoneticPr fontId="2"/>
  </si>
  <si>
    <t>16.01.06.05</t>
    <phoneticPr fontId="2"/>
  </si>
  <si>
    <t>16.01.06.09</t>
    <phoneticPr fontId="2"/>
  </si>
  <si>
    <t>16.01.06.10</t>
    <phoneticPr fontId="2"/>
  </si>
  <si>
    <t>16.01.11.15</t>
    <phoneticPr fontId="2"/>
  </si>
  <si>
    <t>16.01.11.17</t>
    <phoneticPr fontId="2"/>
  </si>
  <si>
    <t>16.01.12.14</t>
    <phoneticPr fontId="2"/>
  </si>
  <si>
    <t>16.01.13.02</t>
    <phoneticPr fontId="2"/>
  </si>
  <si>
    <t>16.01.14.11</t>
    <phoneticPr fontId="2"/>
  </si>
  <si>
    <t>16.01.14.06</t>
    <phoneticPr fontId="2"/>
  </si>
  <si>
    <t>16.01.15.00</t>
    <phoneticPr fontId="2"/>
  </si>
  <si>
    <t>16.01.19.11</t>
    <phoneticPr fontId="2"/>
  </si>
  <si>
    <t>16.01.19.17</t>
    <phoneticPr fontId="2"/>
  </si>
  <si>
    <t>16.01.21.05</t>
    <phoneticPr fontId="2"/>
  </si>
  <si>
    <t>16.01.25.02</t>
    <phoneticPr fontId="2"/>
  </si>
  <si>
    <t>16.01.26.14</t>
    <phoneticPr fontId="2"/>
  </si>
  <si>
    <t>16.01.29.13</t>
    <phoneticPr fontId="2"/>
  </si>
  <si>
    <t>16.02.01.16</t>
    <phoneticPr fontId="2"/>
  </si>
  <si>
    <t>16.02.02.05</t>
    <phoneticPr fontId="2"/>
  </si>
  <si>
    <t>16.02.03.12</t>
    <phoneticPr fontId="2"/>
  </si>
  <si>
    <t>16.02.04.10</t>
    <phoneticPr fontId="2"/>
  </si>
  <si>
    <t>16.02.04.15</t>
    <phoneticPr fontId="2"/>
  </si>
  <si>
    <t>16.02.05.02</t>
    <phoneticPr fontId="2"/>
  </si>
  <si>
    <t>16.02.08.06</t>
    <phoneticPr fontId="2"/>
  </si>
  <si>
    <t>16.02.09.16</t>
    <phoneticPr fontId="2"/>
  </si>
  <si>
    <t>16.02.10.00</t>
    <phoneticPr fontId="2"/>
  </si>
  <si>
    <t>16.02.12.00</t>
    <phoneticPr fontId="2"/>
  </si>
  <si>
    <t>16.02.16.09</t>
    <phoneticPr fontId="2"/>
  </si>
  <si>
    <t>16.02.16.16</t>
    <phoneticPr fontId="2"/>
  </si>
  <si>
    <t>16.02.17.12</t>
    <phoneticPr fontId="2"/>
  </si>
  <si>
    <t>16.02.19.14</t>
    <phoneticPr fontId="2"/>
  </si>
  <si>
    <t>16.02.23.00</t>
    <phoneticPr fontId="2"/>
  </si>
  <si>
    <t>16.02.23.02</t>
    <phoneticPr fontId="2"/>
  </si>
  <si>
    <t>16.02.24.11</t>
    <phoneticPr fontId="2"/>
  </si>
  <si>
    <t>16.02.24.16</t>
    <phoneticPr fontId="2"/>
  </si>
  <si>
    <t>16.02.25.17</t>
    <phoneticPr fontId="2"/>
  </si>
  <si>
    <t>16.02.26.10</t>
    <phoneticPr fontId="2"/>
  </si>
  <si>
    <t>16.02.29.18</t>
    <phoneticPr fontId="2"/>
  </si>
  <si>
    <t>16.02.29.23</t>
    <phoneticPr fontId="2"/>
  </si>
  <si>
    <t>16.03.03.14</t>
    <phoneticPr fontId="2"/>
  </si>
  <si>
    <t>16.03.03.16</t>
    <phoneticPr fontId="2"/>
  </si>
  <si>
    <t>16.03.07.05</t>
    <phoneticPr fontId="2"/>
  </si>
  <si>
    <t>16.03.08.16</t>
    <phoneticPr fontId="2"/>
  </si>
  <si>
    <t>16.03.09.12</t>
    <phoneticPr fontId="2"/>
  </si>
  <si>
    <t>16.03.09.15</t>
    <phoneticPr fontId="2"/>
  </si>
  <si>
    <t>16.03.10.16</t>
    <phoneticPr fontId="2"/>
  </si>
  <si>
    <t>16.03.14.12</t>
    <phoneticPr fontId="2"/>
  </si>
  <si>
    <t>16.03.14.15</t>
    <phoneticPr fontId="2"/>
  </si>
  <si>
    <t>16.03.16.08</t>
    <phoneticPr fontId="2"/>
  </si>
  <si>
    <t>16.03.16.05</t>
    <phoneticPr fontId="2"/>
  </si>
  <si>
    <t>16.03.17.21</t>
    <phoneticPr fontId="2"/>
  </si>
  <si>
    <t>16.03.16.17</t>
    <phoneticPr fontId="2"/>
  </si>
  <si>
    <t>16.03.21.10</t>
    <phoneticPr fontId="2"/>
  </si>
  <si>
    <t>16.03.21.15</t>
    <phoneticPr fontId="2"/>
  </si>
  <si>
    <t>16.03..22.03</t>
    <phoneticPr fontId="2"/>
  </si>
  <si>
    <t>16.03.24.12</t>
    <phoneticPr fontId="2"/>
  </si>
  <si>
    <t>16.03.24.16</t>
    <phoneticPr fontId="2"/>
  </si>
  <si>
    <t>16.03.28.02</t>
    <phoneticPr fontId="2"/>
  </si>
  <si>
    <t>16.03.28.15</t>
    <phoneticPr fontId="2"/>
  </si>
  <si>
    <t>16.03.29.17</t>
    <phoneticPr fontId="2"/>
  </si>
  <si>
    <t>16.03.30.05</t>
    <phoneticPr fontId="2"/>
  </si>
  <si>
    <t>16.03.30.14</t>
    <phoneticPr fontId="2"/>
  </si>
  <si>
    <t>16.03.31.05</t>
    <phoneticPr fontId="2"/>
  </si>
  <si>
    <t>16.04.04.10</t>
    <phoneticPr fontId="2"/>
  </si>
  <si>
    <t>16.04.05.17</t>
    <phoneticPr fontId="2"/>
  </si>
  <si>
    <t>16.04.06.06</t>
    <phoneticPr fontId="2"/>
  </si>
  <si>
    <t>16.04.06.14</t>
    <phoneticPr fontId="2"/>
  </si>
  <si>
    <t>16.04.07.16</t>
    <phoneticPr fontId="2"/>
  </si>
  <si>
    <t>16.04.11.16</t>
    <phoneticPr fontId="2"/>
  </si>
  <si>
    <t>16.04.11.22</t>
    <phoneticPr fontId="2"/>
  </si>
  <si>
    <t>16.04.13.08</t>
    <phoneticPr fontId="2"/>
  </si>
  <si>
    <t>16.04.13.11</t>
    <phoneticPr fontId="2"/>
  </si>
  <si>
    <t>16.04.14.04</t>
    <phoneticPr fontId="2"/>
  </si>
  <si>
    <t>16.04.14.11</t>
    <phoneticPr fontId="2"/>
  </si>
  <si>
    <t>16.04.14.13</t>
    <phoneticPr fontId="2"/>
  </si>
  <si>
    <t>16.04.15.13</t>
    <phoneticPr fontId="2"/>
  </si>
  <si>
    <t>16.04.15.14</t>
    <phoneticPr fontId="2"/>
  </si>
  <si>
    <t>16.04.15.15</t>
    <phoneticPr fontId="2"/>
  </si>
  <si>
    <t>16.01.04.10</t>
    <phoneticPr fontId="2"/>
  </si>
  <si>
    <t>1601.06.05</t>
    <phoneticPr fontId="2"/>
  </si>
  <si>
    <t>16.01.07.05</t>
    <phoneticPr fontId="2"/>
  </si>
  <si>
    <t>16.01.11.16</t>
    <phoneticPr fontId="2"/>
  </si>
  <si>
    <t>16.01.12.21</t>
    <phoneticPr fontId="2"/>
  </si>
  <si>
    <t>16.01.13.17</t>
    <phoneticPr fontId="2"/>
  </si>
  <si>
    <t>16.01.14.15</t>
    <phoneticPr fontId="2"/>
  </si>
  <si>
    <t>16.01.14.08</t>
    <phoneticPr fontId="2"/>
  </si>
  <si>
    <t>16.01.15.03</t>
    <phoneticPr fontId="2"/>
  </si>
  <si>
    <t>16.01.19.14</t>
    <phoneticPr fontId="2"/>
  </si>
  <si>
    <t>16.01.19.19</t>
    <phoneticPr fontId="2"/>
  </si>
  <si>
    <t>16.01.25.05</t>
    <phoneticPr fontId="2"/>
  </si>
  <si>
    <t>16.01.27.01</t>
    <phoneticPr fontId="2"/>
  </si>
  <si>
    <t>16.01.29.16</t>
    <phoneticPr fontId="2"/>
  </si>
  <si>
    <t>16.02.01.18</t>
    <phoneticPr fontId="2"/>
  </si>
  <si>
    <t>16.02.02.10</t>
    <phoneticPr fontId="2"/>
  </si>
  <si>
    <t>16.02.03.14</t>
    <phoneticPr fontId="2"/>
  </si>
  <si>
    <t>16.02.04.12</t>
    <phoneticPr fontId="2"/>
  </si>
  <si>
    <t>16.02.04.16</t>
    <phoneticPr fontId="2"/>
  </si>
  <si>
    <t>16.02.05.15</t>
    <phoneticPr fontId="2"/>
  </si>
  <si>
    <t>16.02.08.12</t>
    <phoneticPr fontId="2"/>
  </si>
  <si>
    <t>16.02.09.20</t>
    <phoneticPr fontId="2"/>
  </si>
  <si>
    <t>16.02.12.12</t>
    <phoneticPr fontId="2"/>
  </si>
  <si>
    <t>16.02.16.12</t>
    <phoneticPr fontId="2"/>
  </si>
  <si>
    <t>16.02.16.17</t>
    <phoneticPr fontId="2"/>
  </si>
  <si>
    <t>16.02.17.16</t>
    <phoneticPr fontId="2"/>
  </si>
  <si>
    <t>16.02.19.19</t>
    <phoneticPr fontId="2"/>
  </si>
  <si>
    <t>16.02.24.10</t>
    <phoneticPr fontId="2"/>
  </si>
  <si>
    <t>16.02.25.14</t>
    <phoneticPr fontId="2"/>
  </si>
  <si>
    <t>16.02.25.10</t>
    <phoneticPr fontId="2"/>
  </si>
  <si>
    <t>16.02.26.06</t>
    <phoneticPr fontId="2"/>
  </si>
  <si>
    <t>16.02.26.12</t>
    <phoneticPr fontId="2"/>
  </si>
  <si>
    <t>16.03.01.17</t>
    <phoneticPr fontId="2"/>
  </si>
  <si>
    <t>16.03.02.07</t>
    <phoneticPr fontId="2"/>
  </si>
  <si>
    <t>16.03.04.14</t>
    <phoneticPr fontId="2"/>
  </si>
  <si>
    <t>16.03.08.03</t>
    <phoneticPr fontId="2"/>
  </si>
  <si>
    <t>16.03.08.19</t>
    <phoneticPr fontId="2"/>
  </si>
  <si>
    <t>16.03.09.17</t>
    <phoneticPr fontId="2"/>
  </si>
  <si>
    <t>16.03.14.10</t>
    <phoneticPr fontId="2"/>
  </si>
  <si>
    <t>16.03.14.14</t>
    <phoneticPr fontId="2"/>
  </si>
  <si>
    <t>16.03.15.01</t>
    <phoneticPr fontId="2"/>
  </si>
  <si>
    <t>16.03.17.06</t>
    <phoneticPr fontId="2"/>
  </si>
  <si>
    <t>16.03.16.07</t>
    <phoneticPr fontId="2"/>
  </si>
  <si>
    <t>16.03.18.02</t>
    <phoneticPr fontId="2"/>
  </si>
  <si>
    <t>16.03.18.09</t>
    <phoneticPr fontId="2"/>
  </si>
  <si>
    <t>16.03.22.02</t>
    <phoneticPr fontId="2"/>
  </si>
  <si>
    <t>16.03.22.18</t>
    <phoneticPr fontId="2"/>
  </si>
  <si>
    <t>16.03.24.15</t>
    <phoneticPr fontId="2"/>
  </si>
  <si>
    <t>16.03.28.17</t>
    <phoneticPr fontId="2"/>
  </si>
  <si>
    <t>16.03.29.03</t>
    <phoneticPr fontId="2"/>
  </si>
  <si>
    <t>16.03.29.08</t>
    <phoneticPr fontId="2"/>
  </si>
  <si>
    <t>16.03.29.19</t>
    <phoneticPr fontId="2"/>
  </si>
  <si>
    <t>16.03.30.13</t>
    <phoneticPr fontId="2"/>
  </si>
  <si>
    <t>16.03.31.03</t>
    <phoneticPr fontId="2"/>
  </si>
  <si>
    <t>16.04.01.09</t>
    <phoneticPr fontId="2"/>
  </si>
  <si>
    <t>16.04.01.15</t>
    <phoneticPr fontId="2"/>
  </si>
  <si>
    <t>16.04.04.13</t>
    <phoneticPr fontId="2"/>
  </si>
  <si>
    <t>16.04.15.18</t>
    <phoneticPr fontId="2"/>
  </si>
  <si>
    <t>16.04.06.15</t>
    <phoneticPr fontId="2"/>
  </si>
  <si>
    <t>16.04.06.16</t>
    <phoneticPr fontId="2"/>
  </si>
  <si>
    <t>16.04.11.11</t>
    <phoneticPr fontId="2"/>
  </si>
  <si>
    <t>16.04.12.11</t>
    <phoneticPr fontId="2"/>
  </si>
  <si>
    <t>16.04.13.12</t>
    <phoneticPr fontId="2"/>
  </si>
  <si>
    <t>16.04.14.06</t>
    <phoneticPr fontId="2"/>
  </si>
  <si>
    <t>16.04.14.17</t>
    <phoneticPr fontId="2"/>
  </si>
  <si>
    <t>16.04.14.16</t>
    <phoneticPr fontId="2"/>
  </si>
  <si>
    <t>16.04.15.17</t>
    <phoneticPr fontId="2"/>
  </si>
  <si>
    <t>AUDJPY</t>
    <phoneticPr fontId="2"/>
  </si>
  <si>
    <t>EURNZD</t>
    <phoneticPr fontId="2"/>
  </si>
  <si>
    <t>NZDUSD</t>
    <phoneticPr fontId="2"/>
  </si>
  <si>
    <t>EURCAD</t>
    <phoneticPr fontId="2"/>
  </si>
  <si>
    <t>sell</t>
    <phoneticPr fontId="2"/>
  </si>
  <si>
    <t>buy</t>
    <phoneticPr fontId="2"/>
  </si>
  <si>
    <t>笹田ｗ</t>
    <rPh sb="0" eb="2">
      <t>ササダ</t>
    </rPh>
    <phoneticPr fontId="2"/>
  </si>
  <si>
    <t>16.04.19.22</t>
    <phoneticPr fontId="2"/>
  </si>
  <si>
    <t>16.04.20.11</t>
    <phoneticPr fontId="2"/>
  </si>
  <si>
    <t>16.04.20.08</t>
    <phoneticPr fontId="2"/>
  </si>
  <si>
    <t>16.04.21.14</t>
    <phoneticPr fontId="2"/>
  </si>
  <si>
    <t>FIB-61.8</t>
    <phoneticPr fontId="2"/>
  </si>
  <si>
    <t>loss</t>
    <phoneticPr fontId="2"/>
  </si>
  <si>
    <t>drw</t>
    <phoneticPr fontId="2"/>
  </si>
  <si>
    <t>win</t>
    <phoneticPr fontId="2"/>
  </si>
  <si>
    <t>4.18～</t>
    <phoneticPr fontId="2"/>
  </si>
  <si>
    <t>今さら的な話だが、ショート側はスプレッド関係ないのでは？？</t>
    <rPh sb="0" eb="1">
      <t>イマ</t>
    </rPh>
    <rPh sb="3" eb="4">
      <t>テキ</t>
    </rPh>
    <rPh sb="5" eb="6">
      <t>ハナシ</t>
    </rPh>
    <rPh sb="13" eb="14">
      <t>ガワ</t>
    </rPh>
    <rPh sb="20" eb="22">
      <t>カンケイ</t>
    </rPh>
    <phoneticPr fontId="2"/>
  </si>
  <si>
    <t>指値に刺さる直近で指値変更の必要性に気づいた時は、まずその指値をキャンセルした後に入り直す！</t>
    <rPh sb="0" eb="2">
      <t>サシネ</t>
    </rPh>
    <rPh sb="3" eb="4">
      <t>サ</t>
    </rPh>
    <rPh sb="6" eb="8">
      <t>チョッキン</t>
    </rPh>
    <rPh sb="9" eb="11">
      <t>サシネ</t>
    </rPh>
    <rPh sb="11" eb="13">
      <t>ヘンコウ</t>
    </rPh>
    <rPh sb="14" eb="16">
      <t>ヒツヨウ</t>
    </rPh>
    <rPh sb="16" eb="17">
      <t>セイ</t>
    </rPh>
    <rPh sb="18" eb="19">
      <t>キ</t>
    </rPh>
    <rPh sb="22" eb="23">
      <t>トキ</t>
    </rPh>
    <rPh sb="29" eb="31">
      <t>サシネ</t>
    </rPh>
    <rPh sb="39" eb="40">
      <t>アト</t>
    </rPh>
    <rPh sb="41" eb="42">
      <t>ハイ</t>
    </rPh>
    <rPh sb="43" eb="44">
      <t>ナオ</t>
    </rPh>
    <phoneticPr fontId="2"/>
  </si>
  <si>
    <t>NZDCHF</t>
    <phoneticPr fontId="2"/>
  </si>
  <si>
    <t>sell</t>
    <phoneticPr fontId="2"/>
  </si>
  <si>
    <t>drw</t>
    <phoneticPr fontId="2"/>
  </si>
  <si>
    <t>win</t>
    <phoneticPr fontId="2"/>
  </si>
  <si>
    <t>loss</t>
    <phoneticPr fontId="2"/>
  </si>
  <si>
    <t>USDJPY</t>
    <phoneticPr fontId="2"/>
  </si>
  <si>
    <t>AUDNZD</t>
    <phoneticPr fontId="2"/>
  </si>
  <si>
    <t>CADJPY</t>
    <phoneticPr fontId="2"/>
  </si>
  <si>
    <t>buy</t>
    <phoneticPr fontId="2"/>
  </si>
  <si>
    <t>笹田ｗ+早IN</t>
    <rPh sb="0" eb="2">
      <t>ササダ</t>
    </rPh>
    <rPh sb="4" eb="5">
      <t>ハヤ</t>
    </rPh>
    <phoneticPr fontId="2"/>
  </si>
  <si>
    <t>笹田ｗ（失敗）</t>
    <rPh sb="0" eb="2">
      <t>ササダ</t>
    </rPh>
    <rPh sb="4" eb="6">
      <t>シッパイ</t>
    </rPh>
    <phoneticPr fontId="2"/>
  </si>
  <si>
    <t>ﾄﾚｰﾘﾝｸﾞ×</t>
    <phoneticPr fontId="2"/>
  </si>
  <si>
    <t>FIB61.8</t>
    <phoneticPr fontId="2"/>
  </si>
  <si>
    <t>FIB61.8</t>
    <phoneticPr fontId="2"/>
  </si>
  <si>
    <t>2016.04.19.16</t>
    <phoneticPr fontId="2"/>
  </si>
  <si>
    <t>2016.04.20.03</t>
    <phoneticPr fontId="2"/>
  </si>
  <si>
    <t>2016.04.21.12</t>
    <phoneticPr fontId="2"/>
  </si>
  <si>
    <t>3勝4敗2分</t>
    <rPh sb="1" eb="2">
      <t>ショウ</t>
    </rPh>
    <rPh sb="3" eb="4">
      <t>ハイ</t>
    </rPh>
    <rPh sb="5" eb="6">
      <t>ワ</t>
    </rPh>
    <phoneticPr fontId="2"/>
  </si>
  <si>
    <t>4月合計</t>
    <rPh sb="1" eb="2">
      <t>ガツ</t>
    </rPh>
    <rPh sb="2" eb="4">
      <t>ゴウケイ</t>
    </rPh>
    <phoneticPr fontId="2"/>
  </si>
  <si>
    <t>10勝7敗8分</t>
    <rPh sb="2" eb="3">
      <t>ショウ</t>
    </rPh>
    <rPh sb="4" eb="5">
      <t>ハイ</t>
    </rPh>
    <rPh sb="6" eb="7">
      <t>ワ</t>
    </rPh>
    <phoneticPr fontId="2"/>
  </si>
  <si>
    <t>エントリーが長期間できないとルールを緩めすぎる×御法度！！</t>
    <rPh sb="6" eb="9">
      <t>チョウキカン</t>
    </rPh>
    <rPh sb="18" eb="19">
      <t>ユル</t>
    </rPh>
    <rPh sb="24" eb="27">
      <t>ゴハット</t>
    </rPh>
    <phoneticPr fontId="2"/>
  </si>
  <si>
    <r>
      <t xml:space="preserve">検証上短期なら-61.8決済は高確率で有効。現状は伸ばそうとしても自信がなく戻りに耐えられないので
</t>
    </r>
    <r>
      <rPr>
        <b/>
        <sz val="11"/>
        <color indexed="8"/>
        <rFont val="ＭＳ Ｐゴシック"/>
        <family val="3"/>
        <charset val="128"/>
      </rPr>
      <t>今は-61.8決済厳守！！</t>
    </r>
    <rPh sb="0" eb="2">
      <t>ケンショウ</t>
    </rPh>
    <rPh sb="2" eb="3">
      <t>ジョウ</t>
    </rPh>
    <rPh sb="3" eb="5">
      <t>タンキ</t>
    </rPh>
    <rPh sb="12" eb="14">
      <t>ケッサイ</t>
    </rPh>
    <rPh sb="15" eb="18">
      <t>コウカクリツ</t>
    </rPh>
    <rPh sb="19" eb="21">
      <t>ユウコウ</t>
    </rPh>
    <rPh sb="22" eb="24">
      <t>ゲンジョウ</t>
    </rPh>
    <rPh sb="25" eb="26">
      <t>ノ</t>
    </rPh>
    <rPh sb="33" eb="35">
      <t>ジシン</t>
    </rPh>
    <rPh sb="38" eb="39">
      <t>モド</t>
    </rPh>
    <rPh sb="41" eb="42">
      <t>タ</t>
    </rPh>
    <rPh sb="50" eb="51">
      <t>イマ</t>
    </rPh>
    <rPh sb="57" eb="59">
      <t>ケッサイ</t>
    </rPh>
    <rPh sb="59" eb="61">
      <t>ゲンシュ</t>
    </rPh>
    <phoneticPr fontId="2"/>
  </si>
  <si>
    <t>今は-61.8決済厳守！！</t>
    <rPh sb="0" eb="1">
      <t>イマ</t>
    </rPh>
    <rPh sb="7" eb="9">
      <t>ケッサイ</t>
    </rPh>
    <rPh sb="9" eb="11">
      <t>ゲンシュ</t>
    </rPh>
    <phoneticPr fontId="2"/>
  </si>
  <si>
    <t>長期間エントリーが無い時ほどルールを守る！！</t>
    <rPh sb="0" eb="3">
      <t>チョウキカン</t>
    </rPh>
    <rPh sb="9" eb="10">
      <t>ナ</t>
    </rPh>
    <rPh sb="11" eb="12">
      <t>トキ</t>
    </rPh>
    <rPh sb="18" eb="19">
      <t>マモ</t>
    </rPh>
    <phoneticPr fontId="2"/>
  </si>
</sst>
</file>

<file path=xl/styles.xml><?xml version="1.0" encoding="utf-8"?>
<styleSheet xmlns="http://schemas.openxmlformats.org/spreadsheetml/2006/main">
  <numFmts count="11">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 numFmtId="184" formatCode="0.00000_);[Red]\(0.00000\)"/>
    <numFmt numFmtId="185" formatCode="yyyy/m/d\ h:mm;@"/>
  </numFmts>
  <fonts count="29">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11"/>
      <color theme="3" tint="0.39997558519241921"/>
      <name val="ＭＳ Ｐゴシック"/>
      <family val="3"/>
      <charset val="128"/>
    </font>
    <font>
      <sz val="8"/>
      <color indexed="8"/>
      <name val="ＭＳ Ｐゴシック"/>
      <family val="3"/>
      <charset val="128"/>
    </font>
    <font>
      <sz val="9"/>
      <color indexed="8"/>
      <name val="ＭＳ Ｐゴシック"/>
      <family val="3"/>
      <charset val="128"/>
    </font>
    <font>
      <sz val="11"/>
      <color rgb="FFFF0000"/>
      <name val="ＭＳ Ｐゴシック"/>
      <family val="3"/>
      <charset val="128"/>
    </font>
    <font>
      <b/>
      <sz val="14"/>
      <color rgb="FFFF0000"/>
      <name val="ＭＳ Ｐゴシック"/>
      <family val="3"/>
      <charset val="128"/>
    </font>
    <font>
      <b/>
      <sz val="11"/>
      <color rgb="FFFFC000"/>
      <name val="ＭＳ Ｐゴシック"/>
      <family val="3"/>
      <charset val="128"/>
    </font>
    <font>
      <b/>
      <sz val="10"/>
      <color indexed="8"/>
      <name val="ＭＳ Ｐゴシック"/>
      <family val="3"/>
      <charset val="128"/>
    </font>
  </fonts>
  <fills count="10">
    <fill>
      <patternFill patternType="none"/>
    </fill>
    <fill>
      <patternFill patternType="gray125"/>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
      <patternFill patternType="solid">
        <fgColor rgb="FFFF0000"/>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39">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center" vertical="center"/>
    </xf>
    <xf numFmtId="0" fontId="8" fillId="2" borderId="8" xfId="0" applyNumberFormat="1" applyFont="1" applyFill="1" applyBorder="1" applyAlignment="1" applyProtection="1">
      <alignment horizontal="center" vertical="center"/>
    </xf>
    <xf numFmtId="176" fontId="0" fillId="2" borderId="8" xfId="0" applyNumberFormat="1" applyFont="1" applyFill="1" applyBorder="1" applyAlignment="1" applyProtection="1">
      <alignment horizontal="center" vertical="center"/>
    </xf>
    <xf numFmtId="177" fontId="0" fillId="2" borderId="8" xfId="0" applyNumberFormat="1" applyFont="1" applyFill="1" applyBorder="1" applyAlignment="1" applyProtection="1">
      <alignment horizontal="center" vertical="center"/>
    </xf>
    <xf numFmtId="177" fontId="0" fillId="2" borderId="9" xfId="0" applyNumberFormat="1" applyFont="1" applyFill="1" applyBorder="1" applyAlignment="1" applyProtection="1">
      <alignment horizontal="center" vertical="center"/>
    </xf>
    <xf numFmtId="0" fontId="0" fillId="2" borderId="10" xfId="0" applyNumberFormat="1" applyFon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0" xfId="0" applyBorder="1">
      <alignment vertical="center"/>
    </xf>
    <xf numFmtId="0" fontId="9" fillId="0" borderId="0" xfId="0" applyNumberFormat="1" applyFont="1" applyFill="1" applyBorder="1" applyAlignment="1" applyProtection="1">
      <alignment horizontal="center" vertical="center"/>
    </xf>
    <xf numFmtId="176" fontId="9" fillId="0" borderId="0" xfId="0" applyNumberFormat="1" applyFont="1" applyFill="1" applyBorder="1" applyAlignment="1" applyProtection="1">
      <alignment horizontal="left" vertical="center"/>
    </xf>
    <xf numFmtId="177" fontId="9" fillId="3" borderId="8" xfId="0" applyNumberFormat="1" applyFont="1" applyFill="1" applyBorder="1" applyAlignment="1" applyProtection="1">
      <alignment horizontal="center" vertical="center"/>
    </xf>
    <xf numFmtId="177" fontId="9" fillId="3"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3" borderId="8" xfId="0" applyNumberFormat="1" applyFont="1" applyFill="1" applyBorder="1" applyAlignment="1" applyProtection="1">
      <alignment horizontal="center" vertical="center"/>
    </xf>
    <xf numFmtId="176" fontId="9" fillId="3" borderId="33" xfId="0" applyNumberFormat="1" applyFont="1" applyFill="1" applyBorder="1" applyAlignment="1" applyProtection="1">
      <alignment horizontal="left" vertical="center"/>
    </xf>
    <xf numFmtId="0" fontId="9" fillId="3" borderId="10" xfId="0" applyNumberFormat="1" applyFont="1" applyFill="1" applyBorder="1" applyAlignment="1" applyProtection="1">
      <alignment horizontal="center" vertical="center"/>
    </xf>
    <xf numFmtId="176" fontId="0" fillId="0" borderId="15" xfId="0" applyNumberFormat="1" applyFont="1" applyFill="1" applyBorder="1" applyAlignment="1" applyProtection="1">
      <alignment vertical="center"/>
    </xf>
    <xf numFmtId="0" fontId="0" fillId="0" borderId="16"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0" fontId="0" fillId="0" borderId="35" xfId="0" applyNumberFormat="1" applyFont="1" applyFill="1" applyBorder="1" applyAlignment="1" applyProtection="1">
      <alignment horizontal="center" vertical="center"/>
    </xf>
    <xf numFmtId="176" fontId="0" fillId="0" borderId="20"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36" xfId="0" applyNumberFormat="1" applyFont="1" applyFill="1" applyBorder="1" applyAlignment="1" applyProtection="1">
      <alignment horizontal="center" vertical="center"/>
    </xf>
    <xf numFmtId="176" fontId="0" fillId="0" borderId="37"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38" xfId="0" applyNumberFormat="1" applyFont="1" applyFill="1" applyBorder="1" applyAlignment="1" applyProtection="1">
      <alignment horizontal="left" vertical="center"/>
    </xf>
    <xf numFmtId="0" fontId="0" fillId="0" borderId="39"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42" xfId="0" applyBorder="1">
      <alignment vertical="center"/>
    </xf>
    <xf numFmtId="0" fontId="0" fillId="0" borderId="3" xfId="0" applyFill="1" applyBorder="1" applyAlignment="1">
      <alignment vertical="center"/>
    </xf>
    <xf numFmtId="0" fontId="0" fillId="0" borderId="22" xfId="0" applyFill="1" applyBorder="1" applyAlignment="1">
      <alignment vertical="center"/>
    </xf>
    <xf numFmtId="0" fontId="0" fillId="0" borderId="0" xfId="0" applyAlignment="1">
      <alignment vertical="center"/>
    </xf>
    <xf numFmtId="0" fontId="0" fillId="0" borderId="0" xfId="0" applyAlignment="1">
      <alignment horizontal="righ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0" fontId="0" fillId="0" borderId="42" xfId="0" applyFill="1" applyBorder="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4" borderId="42" xfId="0" applyFont="1" applyFill="1" applyBorder="1">
      <alignment vertical="center"/>
    </xf>
    <xf numFmtId="0" fontId="14" fillId="4" borderId="3" xfId="0" applyFont="1" applyFill="1" applyBorder="1">
      <alignment vertical="center"/>
    </xf>
    <xf numFmtId="0" fontId="14" fillId="4" borderId="3" xfId="0" applyFont="1" applyFill="1" applyBorder="1" applyAlignment="1">
      <alignment vertical="center" wrapText="1"/>
    </xf>
    <xf numFmtId="0" fontId="14" fillId="4"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4" borderId="22" xfId="0" applyFont="1" applyFill="1" applyBorder="1">
      <alignment vertical="center"/>
    </xf>
    <xf numFmtId="181" fontId="14" fillId="5" borderId="22" xfId="0" applyNumberFormat="1" applyFont="1" applyFill="1" applyBorder="1">
      <alignment vertical="center"/>
    </xf>
    <xf numFmtId="0" fontId="14" fillId="5"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5" borderId="22" xfId="0" applyNumberFormat="1" applyFont="1" applyFill="1" applyBorder="1">
      <alignment vertical="center"/>
    </xf>
    <xf numFmtId="0" fontId="14" fillId="4"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5" borderId="22" xfId="0" applyNumberFormat="1" applyFont="1" applyFill="1" applyBorder="1">
      <alignment vertical="center"/>
    </xf>
    <xf numFmtId="0" fontId="17" fillId="0" borderId="0" xfId="0" applyFont="1">
      <alignment vertical="center"/>
    </xf>
    <xf numFmtId="0" fontId="18" fillId="6" borderId="0" xfId="0" applyFont="1" applyFill="1">
      <alignment vertical="center"/>
    </xf>
    <xf numFmtId="0" fontId="18" fillId="6"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8" borderId="0" xfId="0" applyFill="1">
      <alignment vertical="center"/>
    </xf>
    <xf numFmtId="183" fontId="0" fillId="0" borderId="0" xfId="0" applyNumberFormat="1" applyAlignment="1">
      <alignment horizontal="lef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0" fillId="0" borderId="22" xfId="0" applyFill="1" applyBorder="1" applyAlignment="1">
      <alignment vertical="center" wrapText="1"/>
    </xf>
    <xf numFmtId="0" fontId="23" fillId="0" borderId="0" xfId="0" applyFont="1" applyAlignment="1">
      <alignment horizontal="left" vertical="center"/>
    </xf>
    <xf numFmtId="0" fontId="20" fillId="0" borderId="3" xfId="0" applyFont="1" applyBorder="1" applyAlignment="1">
      <alignment vertical="center" wrapText="1"/>
    </xf>
    <xf numFmtId="178" fontId="0" fillId="0" borderId="0" xfId="0" applyNumberFormat="1" applyFill="1">
      <alignment vertical="center"/>
    </xf>
    <xf numFmtId="0" fontId="0" fillId="0" borderId="0" xfId="0" applyFill="1" applyAlignment="1">
      <alignment horizontal="center" vertical="center"/>
    </xf>
    <xf numFmtId="0" fontId="8" fillId="0" borderId="0" xfId="0" applyNumberFormat="1" applyFont="1" applyFill="1" applyBorder="1" applyAlignment="1" applyProtection="1">
      <alignment horizontal="center" vertical="center"/>
    </xf>
    <xf numFmtId="177" fontId="0" fillId="0" borderId="0" xfId="0" applyNumberFormat="1" applyFont="1" applyFill="1" applyBorder="1" applyAlignment="1" applyProtection="1">
      <alignment horizontal="center" vertical="center"/>
    </xf>
    <xf numFmtId="0" fontId="0" fillId="0" borderId="0" xfId="0" applyNumberFormat="1" applyFill="1" applyBorder="1" applyAlignment="1" applyProtection="1">
      <alignment horizontal="left" vertical="center"/>
    </xf>
    <xf numFmtId="0" fontId="0" fillId="0" borderId="0" xfId="0" applyNumberFormat="1" applyFill="1" applyBorder="1" applyAlignment="1" applyProtection="1">
      <alignment horizontal="center" vertical="center"/>
    </xf>
    <xf numFmtId="0" fontId="0" fillId="2" borderId="8" xfId="0" applyNumberFormat="1" applyFont="1" applyFill="1" applyBorder="1" applyAlignment="1" applyProtection="1">
      <alignment horizontal="right" vertical="center"/>
    </xf>
    <xf numFmtId="0" fontId="0" fillId="0" borderId="0" xfId="0" applyNumberFormat="1" applyFill="1" applyBorder="1" applyAlignment="1" applyProtection="1">
      <alignment horizontal="right" vertical="center"/>
    </xf>
    <xf numFmtId="0" fontId="0" fillId="0" borderId="0" xfId="0" applyNumberFormat="1" applyFont="1" applyFill="1" applyBorder="1" applyAlignment="1" applyProtection="1">
      <alignment horizontal="right" vertical="center"/>
    </xf>
    <xf numFmtId="176" fontId="0" fillId="0" borderId="0" xfId="0" applyNumberFormat="1" applyFill="1" applyBorder="1" applyAlignment="1" applyProtection="1">
      <alignment horizontal="left" vertical="center"/>
    </xf>
    <xf numFmtId="0" fontId="0" fillId="0" borderId="0" xfId="0" applyFill="1" applyBorder="1" applyAlignment="1">
      <alignment horizontal="center" vertical="center"/>
    </xf>
    <xf numFmtId="177" fontId="0" fillId="0" borderId="0" xfId="0" applyNumberFormat="1" applyFont="1" applyFill="1" applyBorder="1" applyAlignment="1" applyProtection="1">
      <alignment horizontal="right" vertical="center"/>
    </xf>
    <xf numFmtId="0" fontId="5" fillId="0" borderId="22" xfId="0" applyFont="1" applyBorder="1" applyAlignment="1">
      <alignment vertical="center" wrapText="1"/>
    </xf>
    <xf numFmtId="0" fontId="26" fillId="0" borderId="22" xfId="0" applyFont="1" applyBorder="1" applyAlignment="1">
      <alignment vertical="center" wrapText="1"/>
    </xf>
    <xf numFmtId="0" fontId="27" fillId="0" borderId="22" xfId="0" applyFont="1" applyBorder="1" applyAlignment="1">
      <alignment vertical="center" wrapText="1"/>
    </xf>
    <xf numFmtId="0" fontId="5" fillId="0" borderId="22" xfId="0" applyFont="1" applyBorder="1" applyAlignment="1">
      <alignment vertical="center" wrapText="1"/>
    </xf>
    <xf numFmtId="0" fontId="5" fillId="0" borderId="0" xfId="0" applyFont="1" applyAlignment="1">
      <alignment horizontal="center" vertical="center"/>
    </xf>
    <xf numFmtId="0" fontId="0" fillId="0" borderId="0" xfId="0" applyNumberFormat="1" applyFont="1" applyFill="1" applyBorder="1" applyAlignment="1" applyProtection="1">
      <alignment horizontal="left" vertical="center"/>
    </xf>
    <xf numFmtId="176" fontId="0" fillId="0" borderId="0" xfId="0" applyNumberFormat="1" applyFont="1" applyFill="1" applyBorder="1" applyAlignment="1" applyProtection="1">
      <alignment horizontal="center" vertical="center"/>
    </xf>
    <xf numFmtId="178" fontId="0" fillId="0" borderId="0" xfId="0" applyNumberFormat="1" applyFill="1" applyBorder="1" applyAlignment="1" applyProtection="1">
      <alignment horizontal="center" vertical="center"/>
    </xf>
    <xf numFmtId="177" fontId="0" fillId="0" borderId="0" xfId="0" applyNumberFormat="1" applyFill="1" applyBorder="1" applyAlignment="1" applyProtection="1">
      <alignment vertical="center"/>
    </xf>
    <xf numFmtId="0" fontId="0" fillId="0" borderId="22" xfId="0" applyBorder="1" applyAlignment="1">
      <alignment vertical="center" wrapText="1"/>
    </xf>
    <xf numFmtId="0" fontId="0" fillId="0" borderId="22" xfId="0" applyBorder="1" applyAlignment="1">
      <alignment vertical="center"/>
    </xf>
    <xf numFmtId="0" fontId="5" fillId="0" borderId="22" xfId="0" applyFont="1" applyBorder="1" applyAlignment="1">
      <alignment vertical="center" wrapText="1"/>
    </xf>
    <xf numFmtId="184" fontId="0" fillId="0" borderId="0" xfId="0" applyNumberFormat="1">
      <alignment vertical="center"/>
    </xf>
    <xf numFmtId="184" fontId="0" fillId="0" borderId="0" xfId="0" applyNumberFormat="1" applyFill="1">
      <alignment vertical="center"/>
    </xf>
    <xf numFmtId="177" fontId="5" fillId="0" borderId="21" xfId="0" applyNumberFormat="1" applyFont="1" applyFill="1" applyBorder="1" applyAlignment="1" applyProtection="1">
      <alignment vertical="center"/>
    </xf>
    <xf numFmtId="0" fontId="5" fillId="0" borderId="55" xfId="0" applyFont="1" applyBorder="1">
      <alignment vertical="center"/>
    </xf>
    <xf numFmtId="0" fontId="5" fillId="0" borderId="22" xfId="0" applyFont="1" applyBorder="1" applyAlignment="1">
      <alignment vertical="center" wrapText="1"/>
    </xf>
    <xf numFmtId="0" fontId="0" fillId="9" borderId="22" xfId="0" applyFill="1" applyBorder="1">
      <alignment vertical="center"/>
    </xf>
    <xf numFmtId="185" fontId="0" fillId="0" borderId="0" xfId="0" applyNumberFormat="1">
      <alignment vertical="center"/>
    </xf>
    <xf numFmtId="22" fontId="0" fillId="0" borderId="0" xfId="0" applyNumberFormat="1">
      <alignment vertical="center"/>
    </xf>
    <xf numFmtId="0" fontId="0" fillId="0" borderId="22" xfId="0" applyBorder="1" applyAlignment="1">
      <alignment horizontal="left" vertical="center" wrapText="1"/>
    </xf>
    <xf numFmtId="0" fontId="0" fillId="0" borderId="22" xfId="0" applyBorder="1" applyAlignment="1">
      <alignment horizontal="left" vertical="center"/>
    </xf>
    <xf numFmtId="0" fontId="0" fillId="0" borderId="56" xfId="0" applyFill="1" applyBorder="1" applyAlignment="1">
      <alignment vertical="center"/>
    </xf>
    <xf numFmtId="0" fontId="0" fillId="0" borderId="42" xfId="0" applyFill="1" applyBorder="1" applyAlignment="1">
      <alignment vertical="center"/>
    </xf>
    <xf numFmtId="0" fontId="0" fillId="0" borderId="1" xfId="0" applyFill="1" applyBorder="1" applyAlignment="1">
      <alignment vertical="center"/>
    </xf>
    <xf numFmtId="0" fontId="0" fillId="0" borderId="3" xfId="0" applyBorder="1" applyAlignment="1">
      <alignment vertical="center"/>
    </xf>
    <xf numFmtId="0" fontId="0" fillId="0" borderId="1" xfId="0" applyFill="1" applyBorder="1" applyAlignment="1">
      <alignment vertical="center" wrapText="1"/>
    </xf>
    <xf numFmtId="0" fontId="0" fillId="0" borderId="22" xfId="0" applyBorder="1" applyAlignment="1">
      <alignment vertical="center" wrapText="1"/>
    </xf>
    <xf numFmtId="0" fontId="0" fillId="0" borderId="22" xfId="0" applyBorder="1" applyAlignment="1">
      <alignment vertical="center"/>
    </xf>
    <xf numFmtId="0" fontId="5" fillId="0" borderId="54" xfId="0" applyFont="1" applyFill="1" applyBorder="1" applyAlignment="1">
      <alignment vertical="center"/>
    </xf>
    <xf numFmtId="0" fontId="0" fillId="0" borderId="54" xfId="0" applyFill="1" applyBorder="1" applyAlignment="1">
      <alignment vertical="center"/>
    </xf>
    <xf numFmtId="0" fontId="0" fillId="0" borderId="55" xfId="0" applyFill="1" applyBorder="1" applyAlignment="1">
      <alignment vertical="center"/>
    </xf>
    <xf numFmtId="0" fontId="0" fillId="0" borderId="22" xfId="0" applyBorder="1" applyAlignment="1">
      <alignment horizontal="center" vertical="center"/>
    </xf>
    <xf numFmtId="0" fontId="0" fillId="0" borderId="3" xfId="0" applyBorder="1" applyAlignment="1">
      <alignment vertical="center" wrapText="1"/>
    </xf>
    <xf numFmtId="0" fontId="5" fillId="0" borderId="22" xfId="0" applyFont="1" applyBorder="1" applyAlignment="1">
      <alignment vertical="center" wrapText="1"/>
    </xf>
    <xf numFmtId="0" fontId="0" fillId="0" borderId="22" xfId="0" applyFill="1" applyBorder="1" applyAlignment="1">
      <alignment vertical="center" wrapText="1"/>
    </xf>
    <xf numFmtId="0" fontId="0" fillId="0" borderId="22" xfId="0" applyFill="1" applyBorder="1" applyAlignment="1">
      <alignment vertical="center"/>
    </xf>
    <xf numFmtId="9" fontId="0" fillId="0" borderId="29" xfId="0" applyNumberFormat="1" applyBorder="1" applyAlignment="1">
      <alignment vertical="center"/>
    </xf>
    <xf numFmtId="0" fontId="0" fillId="0" borderId="30" xfId="0" applyBorder="1" applyAlignment="1">
      <alignment vertical="center"/>
    </xf>
    <xf numFmtId="0" fontId="9" fillId="3" borderId="7" xfId="0" applyNumberFormat="1" applyFont="1" applyFill="1" applyBorder="1" applyAlignment="1" applyProtection="1">
      <alignment horizontal="center" vertical="center"/>
    </xf>
    <xf numFmtId="0" fontId="9" fillId="3" borderId="8" xfId="0" applyNumberFormat="1" applyFont="1" applyFill="1" applyBorder="1" applyAlignment="1" applyProtection="1">
      <alignment horizontal="center" vertical="center"/>
    </xf>
    <xf numFmtId="0" fontId="0" fillId="0" borderId="17" xfId="0" applyBorder="1" applyAlignment="1">
      <alignment vertical="center"/>
    </xf>
    <xf numFmtId="0" fontId="0" fillId="0" borderId="18" xfId="0" applyBorder="1" applyAlignment="1">
      <alignment vertical="center"/>
    </xf>
    <xf numFmtId="0" fontId="9" fillId="3" borderId="11" xfId="0"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0" fillId="0" borderId="17" xfId="0" applyBorder="1" applyAlignment="1">
      <alignment horizontal="right" vertical="center"/>
    </xf>
    <xf numFmtId="0" fontId="0" fillId="0" borderId="18" xfId="0" applyBorder="1" applyAlignment="1">
      <alignment horizontal="righ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4" borderId="21"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55" xfId="0" applyFont="1" applyFill="1" applyBorder="1" applyAlignment="1">
      <alignment horizontal="center" vertical="center"/>
    </xf>
    <xf numFmtId="0" fontId="14" fillId="4" borderId="22" xfId="0" applyFont="1" applyFill="1" applyBorder="1" applyAlignment="1">
      <alignment horizontal="center" vertical="center" wrapText="1"/>
    </xf>
    <xf numFmtId="0" fontId="14" fillId="4" borderId="22" xfId="0" applyFont="1" applyFill="1" applyBorder="1" applyAlignment="1">
      <alignment horizontal="center" vertical="center"/>
    </xf>
    <xf numFmtId="0" fontId="19" fillId="7"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5"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xf numFmtId="0" fontId="0" fillId="0" borderId="0" xfId="0" applyFill="1" applyBorder="1" applyAlignment="1">
      <alignment horizontal="left" vertical="center"/>
    </xf>
    <xf numFmtId="177" fontId="0" fillId="0" borderId="54" xfId="0" applyNumberFormat="1" applyFont="1" applyFill="1" applyBorder="1" applyAlignment="1" applyProtection="1">
      <alignment vertical="center"/>
    </xf>
    <xf numFmtId="0" fontId="28" fillId="0" borderId="21" xfId="0" applyFont="1" applyBorder="1">
      <alignment vertical="center"/>
    </xf>
    <xf numFmtId="0" fontId="5" fillId="0" borderId="54" xfId="0" applyFont="1" applyFill="1" applyBorder="1" applyAlignment="1">
      <alignment horizontal="left" vertical="center"/>
    </xf>
    <xf numFmtId="177" fontId="5" fillId="0" borderId="54" xfId="0" applyNumberFormat="1" applyFont="1" applyBorder="1">
      <alignment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39740</c:v>
                </c:pt>
                <c:pt idx="1">
                  <c:v>18155</c:v>
                </c:pt>
                <c:pt idx="2">
                  <c:v>0</c:v>
                </c:pt>
                <c:pt idx="3">
                  <c:v>13120</c:v>
                </c:pt>
                <c:pt idx="4">
                  <c:v>18120</c:v>
                </c:pt>
                <c:pt idx="5">
                  <c:v>0</c:v>
                </c:pt>
                <c:pt idx="6">
                  <c:v>5238</c:v>
                </c:pt>
                <c:pt idx="7">
                  <c:v>24026</c:v>
                </c:pt>
                <c:pt idx="8">
                  <c:v>0</c:v>
                </c:pt>
                <c:pt idx="9">
                  <c:v>0</c:v>
                </c:pt>
                <c:pt idx="10">
                  <c:v>28967</c:v>
                </c:pt>
                <c:pt idx="11">
                  <c:v>39279</c:v>
                </c:pt>
                <c:pt idx="12">
                  <c:v>7072</c:v>
                </c:pt>
                <c:pt idx="13">
                  <c:v>15819</c:v>
                </c:pt>
                <c:pt idx="14">
                  <c:v>0</c:v>
                </c:pt>
                <c:pt idx="15">
                  <c:v>0</c:v>
                </c:pt>
                <c:pt idx="16">
                  <c:v>0</c:v>
                </c:pt>
                <c:pt idx="17">
                  <c:v>0</c:v>
                </c:pt>
                <c:pt idx="18">
                  <c:v>0</c:v>
                </c:pt>
                <c:pt idx="19">
                  <c:v>7443</c:v>
                </c:pt>
                <c:pt idx="20">
                  <c:v>0</c:v>
                </c:pt>
                <c:pt idx="21">
                  <c:v>0</c:v>
                </c:pt>
                <c:pt idx="22">
                  <c:v>2520</c:v>
                </c:pt>
                <c:pt idx="23">
                  <c:v>4194</c:v>
                </c:pt>
                <c:pt idx="24">
                  <c:v>0</c:v>
                </c:pt>
                <c:pt idx="25">
                  <c:v>0</c:v>
                </c:pt>
                <c:pt idx="26">
                  <c:v>0</c:v>
                </c:pt>
                <c:pt idx="27">
                  <c:v>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17020</c:v>
                </c:pt>
                <c:pt idx="1">
                  <c:v>0</c:v>
                </c:pt>
                <c:pt idx="2">
                  <c:v>29414</c:v>
                </c:pt>
                <c:pt idx="3">
                  <c:v>48590</c:v>
                </c:pt>
                <c:pt idx="4">
                  <c:v>49930</c:v>
                </c:pt>
                <c:pt idx="5">
                  <c:v>6322</c:v>
                </c:pt>
                <c:pt idx="6">
                  <c:v>16182</c:v>
                </c:pt>
                <c:pt idx="7">
                  <c:v>0</c:v>
                </c:pt>
                <c:pt idx="8">
                  <c:v>23017</c:v>
                </c:pt>
                <c:pt idx="9">
                  <c:v>4572</c:v>
                </c:pt>
                <c:pt idx="10">
                  <c:v>11711</c:v>
                </c:pt>
                <c:pt idx="11">
                  <c:v>0</c:v>
                </c:pt>
                <c:pt idx="12">
                  <c:v>0</c:v>
                </c:pt>
                <c:pt idx="13">
                  <c:v>24328</c:v>
                </c:pt>
                <c:pt idx="14">
                  <c:v>0</c:v>
                </c:pt>
                <c:pt idx="15">
                  <c:v>0</c:v>
                </c:pt>
                <c:pt idx="16">
                  <c:v>12885</c:v>
                </c:pt>
                <c:pt idx="17">
                  <c:v>9553</c:v>
                </c:pt>
                <c:pt idx="18">
                  <c:v>3491</c:v>
                </c:pt>
                <c:pt idx="19">
                  <c:v>0</c:v>
                </c:pt>
                <c:pt idx="20">
                  <c:v>0</c:v>
                </c:pt>
                <c:pt idx="21">
                  <c:v>0</c:v>
                </c:pt>
                <c:pt idx="22">
                  <c:v>9240</c:v>
                </c:pt>
                <c:pt idx="23">
                  <c:v>0</c:v>
                </c:pt>
                <c:pt idx="24">
                  <c:v>8760</c:v>
                </c:pt>
                <c:pt idx="25">
                  <c:v>0</c:v>
                </c:pt>
                <c:pt idx="26">
                  <c:v>20329</c:v>
                </c:pt>
                <c:pt idx="27">
                  <c:v>23121</c:v>
                </c:pt>
              </c:numCache>
            </c:numRef>
          </c:val>
        </c:ser>
        <c:axId val="101911552"/>
        <c:axId val="88109824"/>
      </c:barChart>
      <c:catAx>
        <c:axId val="101911552"/>
        <c:scaling>
          <c:orientation val="minMax"/>
        </c:scaling>
        <c:axPos val="b"/>
        <c:majorTickMark val="none"/>
        <c:tickLblPos val="nextTo"/>
        <c:crossAx val="88109824"/>
        <c:crosses val="autoZero"/>
        <c:auto val="1"/>
        <c:lblAlgn val="ctr"/>
        <c:lblOffset val="100"/>
      </c:catAx>
      <c:valAx>
        <c:axId val="88109824"/>
        <c:scaling>
          <c:orientation val="minMax"/>
        </c:scaling>
        <c:axPos val="l"/>
        <c:majorGridlines/>
        <c:numFmt formatCode="&quot;¥&quot;#,##0;[Red]\-&quot;¥&quot;#,##0" sourceLinked="1"/>
        <c:majorTickMark val="none"/>
        <c:tickLblPos val="nextTo"/>
        <c:crossAx val="101911552"/>
        <c:crosses val="autoZero"/>
        <c:crossBetween val="between"/>
      </c:valAx>
    </c:plotArea>
    <c:legend>
      <c:legendPos val="r"/>
    </c:legend>
    <c:plotVisOnly val="1"/>
    <c:dispBlanksAs val="gap"/>
  </c:chart>
  <c:printSettings>
    <c:headerFooter/>
    <c:pageMargins b="0.75000000000000899" l="0.70000000000000062" r="0.70000000000000062" t="0.7500000000000089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1013"/>
        </c:manualLayout>
      </c:layout>
      <c:lineChart>
        <c:grouping val="standard"/>
        <c:ser>
          <c:idx val="0"/>
          <c:order val="0"/>
          <c:tx>
            <c:v>資金推移</c:v>
          </c:tx>
          <c:marker>
            <c:symbol val="none"/>
          </c:marker>
          <c:cat>
            <c:numRef>
              <c:f>成績表!$A$46:$A$63</c:f>
              <c:numCache>
                <c:formatCode>yyyy"年"mm"月"</c:formatCode>
                <c:ptCount val="1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numCache>
            </c:numRef>
          </c:cat>
          <c:val>
            <c:numRef>
              <c:f>(成績表!$C$2,成績表!$O$46:$O$63)</c:f>
              <c:numCache>
                <c:formatCode>"¥"#,##0;\-"¥"#,##0</c:formatCode>
                <c:ptCount val="19"/>
                <c:pt idx="0">
                  <c:v>500000</c:v>
                </c:pt>
                <c:pt idx="1">
                  <c:v>441775</c:v>
                </c:pt>
                <c:pt idx="2">
                  <c:v>385315</c:v>
                </c:pt>
                <c:pt idx="3">
                  <c:v>509215</c:v>
                </c:pt>
                <c:pt idx="4">
                  <c:v>522865</c:v>
                </c:pt>
                <c:pt idx="5">
                  <c:v>522865</c:v>
                </c:pt>
                <c:pt idx="6">
                  <c:v>522865</c:v>
                </c:pt>
                <c:pt idx="7">
                  <c:v>522865</c:v>
                </c:pt>
                <c:pt idx="8">
                  <c:v>522865</c:v>
                </c:pt>
                <c:pt idx="9">
                  <c:v>522865</c:v>
                </c:pt>
                <c:pt idx="10">
                  <c:v>522865</c:v>
                </c:pt>
                <c:pt idx="11">
                  <c:v>522865</c:v>
                </c:pt>
                <c:pt idx="12">
                  <c:v>522865</c:v>
                </c:pt>
                <c:pt idx="13">
                  <c:v>522865</c:v>
                </c:pt>
                <c:pt idx="14">
                  <c:v>522865</c:v>
                </c:pt>
                <c:pt idx="15">
                  <c:v>522865</c:v>
                </c:pt>
                <c:pt idx="16">
                  <c:v>522865</c:v>
                </c:pt>
                <c:pt idx="17">
                  <c:v>522865</c:v>
                </c:pt>
                <c:pt idx="18">
                  <c:v>522865</c:v>
                </c:pt>
              </c:numCache>
            </c:numRef>
          </c:val>
        </c:ser>
        <c:marker val="1"/>
        <c:axId val="88120704"/>
        <c:axId val="88134784"/>
      </c:lineChart>
      <c:dateAx>
        <c:axId val="88120704"/>
        <c:scaling>
          <c:orientation val="minMax"/>
        </c:scaling>
        <c:axPos val="b"/>
        <c:numFmt formatCode="yyyy&quot;年&quot;mm&quot;月&quot;" sourceLinked="1"/>
        <c:majorTickMark val="none"/>
        <c:tickLblPos val="nextTo"/>
        <c:crossAx val="88134784"/>
        <c:crosses val="autoZero"/>
        <c:auto val="1"/>
        <c:lblOffset val="100"/>
        <c:baseTimeUnit val="months"/>
      </c:dateAx>
      <c:valAx>
        <c:axId val="88134784"/>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65"/>
            </c:manualLayout>
          </c:layout>
        </c:title>
        <c:numFmt formatCode="&quot;¥&quot;#,##0;\-&quot;¥&quot;#,##0" sourceLinked="1"/>
        <c:majorTickMark val="none"/>
        <c:tickLblPos val="nextTo"/>
        <c:crossAx val="88120704"/>
        <c:crosses val="autoZero"/>
        <c:crossBetween val="between"/>
      </c:valAx>
    </c:plotArea>
    <c:legend>
      <c:legendPos val="r"/>
    </c:legend>
    <c:plotVisOnly val="1"/>
    <c:dispBlanksAs val="gap"/>
  </c:chart>
  <c:printSettings>
    <c:headerFooter/>
    <c:pageMargins b="0.75000000000000899" l="0.70000000000000062" r="0.70000000000000062" t="0.75000000000000899" header="0.30000000000000032" footer="0.30000000000000032"/>
    <c:pageSetup/>
  </c:printSettings>
</c:chartSpace>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5</xdr:col>
      <xdr:colOff>1076325</xdr:colOff>
      <xdr:row>4</xdr:row>
      <xdr:rowOff>190500</xdr:rowOff>
    </xdr:from>
    <xdr:to>
      <xdr:col>11</xdr:col>
      <xdr:colOff>38100</xdr:colOff>
      <xdr:row>4</xdr:row>
      <xdr:rowOff>192088</xdr:rowOff>
    </xdr:to>
    <xdr:cxnSp macro="">
      <xdr:nvCxnSpPr>
        <xdr:cNvPr id="3" name="直線コネクタ 2"/>
        <xdr:cNvCxnSpPr/>
      </xdr:nvCxnSpPr>
      <xdr:spPr>
        <a:xfrm>
          <a:off x="6391275" y="3409950"/>
          <a:ext cx="48291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208</xdr:row>
      <xdr:rowOff>58919</xdr:rowOff>
    </xdr:from>
    <xdr:to>
      <xdr:col>18</xdr:col>
      <xdr:colOff>211022</xdr:colOff>
      <xdr:row>236</xdr:row>
      <xdr:rowOff>147294</xdr:rowOff>
    </xdr:to>
    <xdr:pic>
      <xdr:nvPicPr>
        <xdr:cNvPr id="35" name="Picture 1"/>
        <xdr:cNvPicPr>
          <a:picLocks noChangeAspect="1" noChangeArrowheads="1"/>
        </xdr:cNvPicPr>
      </xdr:nvPicPr>
      <xdr:blipFill>
        <a:blip xmlns:r="http://schemas.openxmlformats.org/officeDocument/2006/relationships" r:embed="rId1"/>
        <a:srcRect l="4821" t="19707" b="13456"/>
        <a:stretch>
          <a:fillRect/>
        </a:stretch>
      </xdr:blipFill>
      <xdr:spPr bwMode="auto">
        <a:xfrm>
          <a:off x="0" y="29772991"/>
          <a:ext cx="12406950" cy="4762499"/>
        </a:xfrm>
        <a:prstGeom prst="rect">
          <a:avLst/>
        </a:prstGeom>
        <a:noFill/>
        <a:ln w="1">
          <a:noFill/>
          <a:miter lim="800000"/>
          <a:headEnd/>
          <a:tailEnd type="none" w="med" len="med"/>
        </a:ln>
        <a:effectLst/>
      </xdr:spPr>
    </xdr:pic>
    <xdr:clientData/>
  </xdr:twoCellAnchor>
  <xdr:twoCellAnchor editAs="oneCell">
    <xdr:from>
      <xdr:col>0</xdr:col>
      <xdr:colOff>0</xdr:colOff>
      <xdr:row>148</xdr:row>
      <xdr:rowOff>29460</xdr:rowOff>
    </xdr:from>
    <xdr:to>
      <xdr:col>18</xdr:col>
      <xdr:colOff>191383</xdr:colOff>
      <xdr:row>176</xdr:row>
      <xdr:rowOff>157115</xdr:rowOff>
    </xdr:to>
    <xdr:pic>
      <xdr:nvPicPr>
        <xdr:cNvPr id="43" name="Picture 1"/>
        <xdr:cNvPicPr>
          <a:picLocks noChangeAspect="1" noChangeArrowheads="1"/>
        </xdr:cNvPicPr>
      </xdr:nvPicPr>
      <xdr:blipFill>
        <a:blip xmlns:r="http://schemas.openxmlformats.org/officeDocument/2006/relationships" r:embed="rId2"/>
        <a:srcRect l="4972" t="19845" b="12767"/>
        <a:stretch>
          <a:fillRect/>
        </a:stretch>
      </xdr:blipFill>
      <xdr:spPr bwMode="auto">
        <a:xfrm>
          <a:off x="0" y="24735542"/>
          <a:ext cx="12387311" cy="4801779"/>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201203</xdr:colOff>
      <xdr:row>28</xdr:row>
      <xdr:rowOff>117836</xdr:rowOff>
    </xdr:to>
    <xdr:pic>
      <xdr:nvPicPr>
        <xdr:cNvPr id="11265" name="Picture 1"/>
        <xdr:cNvPicPr>
          <a:picLocks noChangeAspect="1" noChangeArrowheads="1"/>
        </xdr:cNvPicPr>
      </xdr:nvPicPr>
      <xdr:blipFill>
        <a:blip xmlns:r="http://schemas.openxmlformats.org/officeDocument/2006/relationships" r:embed="rId3"/>
        <a:srcRect l="4896" t="19569" b="13180"/>
        <a:stretch>
          <a:fillRect/>
        </a:stretch>
      </xdr:blipFill>
      <xdr:spPr bwMode="auto">
        <a:xfrm>
          <a:off x="0" y="0"/>
          <a:ext cx="12397131" cy="4791960"/>
        </a:xfrm>
        <a:prstGeom prst="rect">
          <a:avLst/>
        </a:prstGeom>
        <a:noFill/>
        <a:ln w="1">
          <a:noFill/>
          <a:miter lim="800000"/>
          <a:headEnd/>
          <a:tailEnd type="none" w="med" len="med"/>
        </a:ln>
        <a:effectLst/>
      </xdr:spPr>
    </xdr:pic>
    <xdr:clientData/>
  </xdr:twoCellAnchor>
  <xdr:twoCellAnchor>
    <xdr:from>
      <xdr:col>0</xdr:col>
      <xdr:colOff>88375</xdr:colOff>
      <xdr:row>1</xdr:row>
      <xdr:rowOff>58917</xdr:rowOff>
    </xdr:from>
    <xdr:to>
      <xdr:col>1</xdr:col>
      <xdr:colOff>196390</xdr:colOff>
      <xdr:row>2</xdr:row>
      <xdr:rowOff>157113</xdr:rowOff>
    </xdr:to>
    <xdr:sp macro="" textlink="">
      <xdr:nvSpPr>
        <xdr:cNvPr id="36" name="テキスト ボックス 35"/>
        <xdr:cNvSpPr txBox="1"/>
      </xdr:nvSpPr>
      <xdr:spPr>
        <a:xfrm>
          <a:off x="88375" y="225850"/>
          <a:ext cx="78556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No.83､84</a:t>
          </a:r>
          <a:endParaRPr kumimoji="1" lang="ja-JP" altLang="en-US" sz="1100"/>
        </a:p>
      </xdr:txBody>
    </xdr:sp>
    <xdr:clientData/>
  </xdr:twoCellAnchor>
  <xdr:twoCellAnchor>
    <xdr:from>
      <xdr:col>0</xdr:col>
      <xdr:colOff>88376</xdr:colOff>
      <xdr:row>3</xdr:row>
      <xdr:rowOff>108015</xdr:rowOff>
    </xdr:from>
    <xdr:to>
      <xdr:col>2</xdr:col>
      <xdr:colOff>39278</xdr:colOff>
      <xdr:row>10</xdr:row>
      <xdr:rowOff>108015</xdr:rowOff>
    </xdr:to>
    <xdr:sp macro="" textlink="">
      <xdr:nvSpPr>
        <xdr:cNvPr id="37" name="テキスト ボックス 36"/>
        <xdr:cNvSpPr txBox="1"/>
      </xdr:nvSpPr>
      <xdr:spPr>
        <a:xfrm>
          <a:off x="88376" y="608814"/>
          <a:ext cx="1306005" cy="1168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a:t>
          </a:r>
          <a:r>
            <a:rPr kumimoji="1" lang="ja-JP" altLang="en-US" sz="1100"/>
            <a:t>分足ｗトップのネックラインブレイクで売り</a:t>
          </a:r>
          <a:r>
            <a:rPr kumimoji="1" lang="en-US" altLang="ja-JP" sz="1100"/>
            <a:t>IN</a:t>
          </a:r>
        </a:p>
        <a:p>
          <a:r>
            <a:rPr kumimoji="1" lang="ja-JP" altLang="en-US" sz="1100"/>
            <a:t>大きな時間足での強い</a:t>
          </a:r>
          <a:r>
            <a:rPr kumimoji="1" lang="en-US" altLang="ja-JP" sz="1100"/>
            <a:t>S/R</a:t>
          </a:r>
          <a:r>
            <a:rPr kumimoji="1" lang="ja-JP" altLang="en-US" sz="1100"/>
            <a:t>はもう少し上にある相場</a:t>
          </a:r>
        </a:p>
      </xdr:txBody>
    </xdr:sp>
    <xdr:clientData/>
  </xdr:twoCellAnchor>
  <xdr:twoCellAnchor>
    <xdr:from>
      <xdr:col>11</xdr:col>
      <xdr:colOff>68737</xdr:colOff>
      <xdr:row>5</xdr:row>
      <xdr:rowOff>98194</xdr:rowOff>
    </xdr:from>
    <xdr:to>
      <xdr:col>11</xdr:col>
      <xdr:colOff>569536</xdr:colOff>
      <xdr:row>7</xdr:row>
      <xdr:rowOff>29457</xdr:rowOff>
    </xdr:to>
    <xdr:sp macro="" textlink="">
      <xdr:nvSpPr>
        <xdr:cNvPr id="38" name="角丸四角形吹き出し 37"/>
        <xdr:cNvSpPr/>
      </xdr:nvSpPr>
      <xdr:spPr>
        <a:xfrm>
          <a:off x="7521804" y="932859"/>
          <a:ext cx="500799" cy="265129"/>
        </a:xfrm>
        <a:prstGeom prst="wedgeRoundRectCallout">
          <a:avLst>
            <a:gd name="adj1" fmla="val 68225"/>
            <a:gd name="adj2" fmla="val -900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12</xdr:col>
      <xdr:colOff>19638</xdr:colOff>
      <xdr:row>0</xdr:row>
      <xdr:rowOff>83662</xdr:rowOff>
    </xdr:from>
    <xdr:to>
      <xdr:col>13</xdr:col>
      <xdr:colOff>196392</xdr:colOff>
      <xdr:row>2</xdr:row>
      <xdr:rowOff>14925</xdr:rowOff>
    </xdr:to>
    <xdr:sp macro="" textlink="">
      <xdr:nvSpPr>
        <xdr:cNvPr id="39" name="角丸四角形吹き出し 38"/>
        <xdr:cNvSpPr/>
      </xdr:nvSpPr>
      <xdr:spPr>
        <a:xfrm>
          <a:off x="8150257" y="83662"/>
          <a:ext cx="854305" cy="265129"/>
        </a:xfrm>
        <a:prstGeom prst="wedgeRoundRectCallout">
          <a:avLst>
            <a:gd name="adj1" fmla="val 5635"/>
            <a:gd name="adj2" fmla="val 987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14</xdr:col>
      <xdr:colOff>132760</xdr:colOff>
      <xdr:row>7</xdr:row>
      <xdr:rowOff>128047</xdr:rowOff>
    </xdr:from>
    <xdr:to>
      <xdr:col>15</xdr:col>
      <xdr:colOff>638273</xdr:colOff>
      <xdr:row>10</xdr:row>
      <xdr:rowOff>98196</xdr:rowOff>
    </xdr:to>
    <xdr:sp macro="" textlink="">
      <xdr:nvSpPr>
        <xdr:cNvPr id="40" name="角丸四角形吹き出し 39"/>
        <xdr:cNvSpPr/>
      </xdr:nvSpPr>
      <xdr:spPr>
        <a:xfrm>
          <a:off x="9618482" y="1296578"/>
          <a:ext cx="1183064" cy="470948"/>
        </a:xfrm>
        <a:prstGeom prst="wedgeRoundRectCallout">
          <a:avLst>
            <a:gd name="adj1" fmla="val -54454"/>
            <a:gd name="adj2" fmla="val -1048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その後ターゲットには到達</a:t>
          </a:r>
        </a:p>
      </xdr:txBody>
    </xdr:sp>
    <xdr:clientData/>
  </xdr:twoCellAnchor>
  <xdr:twoCellAnchor>
    <xdr:from>
      <xdr:col>1</xdr:col>
      <xdr:colOff>255701</xdr:colOff>
      <xdr:row>12</xdr:row>
      <xdr:rowOff>44776</xdr:rowOff>
    </xdr:from>
    <xdr:to>
      <xdr:col>3</xdr:col>
      <xdr:colOff>628452</xdr:colOff>
      <xdr:row>17</xdr:row>
      <xdr:rowOff>1</xdr:rowOff>
    </xdr:to>
    <xdr:sp macro="" textlink="">
      <xdr:nvSpPr>
        <xdr:cNvPr id="41" name="角丸四角形吹き出し 40"/>
        <xdr:cNvSpPr/>
      </xdr:nvSpPr>
      <xdr:spPr>
        <a:xfrm>
          <a:off x="933253" y="2047972"/>
          <a:ext cx="1727854" cy="789890"/>
        </a:xfrm>
        <a:prstGeom prst="wedgeRoundRectCallout">
          <a:avLst>
            <a:gd name="adj1" fmla="val -40904"/>
            <a:gd name="adj2" fmla="val -9211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この負けはストップ</a:t>
          </a:r>
          <a:r>
            <a:rPr kumimoji="1" lang="en-US" altLang="ja-JP" sz="1100"/>
            <a:t>61.8</a:t>
          </a:r>
          <a:r>
            <a:rPr kumimoji="1" lang="ja-JP" altLang="en-US" sz="1100"/>
            <a:t>でリスクを取っている為、仕方ないトコロだが・・・</a:t>
          </a:r>
        </a:p>
      </xdr:txBody>
    </xdr:sp>
    <xdr:clientData/>
  </xdr:twoCellAnchor>
  <xdr:twoCellAnchor>
    <xdr:from>
      <xdr:col>2</xdr:col>
      <xdr:colOff>584853</xdr:colOff>
      <xdr:row>18</xdr:row>
      <xdr:rowOff>138257</xdr:rowOff>
    </xdr:from>
    <xdr:to>
      <xdr:col>5</xdr:col>
      <xdr:colOff>280052</xdr:colOff>
      <xdr:row>26</xdr:row>
      <xdr:rowOff>9818</xdr:rowOff>
    </xdr:to>
    <xdr:sp macro="" textlink="">
      <xdr:nvSpPr>
        <xdr:cNvPr id="42" name="角丸四角形吹き出し 41"/>
        <xdr:cNvSpPr/>
      </xdr:nvSpPr>
      <xdr:spPr>
        <a:xfrm>
          <a:off x="1939956" y="3143051"/>
          <a:ext cx="1727854" cy="1207025"/>
        </a:xfrm>
        <a:prstGeom prst="wedgeRoundRectCallout">
          <a:avLst>
            <a:gd name="adj1" fmla="val -37494"/>
            <a:gd name="adj2" fmla="val -7789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指値位置が遠かったのに気づいてネックラインブレイクで手動</a:t>
          </a:r>
          <a:r>
            <a:rPr kumimoji="1" lang="en-US" altLang="ja-JP" sz="1100"/>
            <a:t>IN</a:t>
          </a:r>
          <a:r>
            <a:rPr kumimoji="1" lang="ja-JP" altLang="en-US" sz="1100"/>
            <a:t>後にキャンセルしようとしたら、勢いで指値も刺さっていまい損失２倍</a:t>
          </a:r>
          <a:r>
            <a:rPr kumimoji="1" lang="en-US" altLang="ja-JP" sz="1100"/>
            <a:t>××</a:t>
          </a:r>
          <a:endParaRPr kumimoji="1" lang="ja-JP" altLang="en-US" sz="1100"/>
        </a:p>
      </xdr:txBody>
    </xdr:sp>
    <xdr:clientData/>
  </xdr:twoCellAnchor>
  <xdr:twoCellAnchor>
    <xdr:from>
      <xdr:col>7</xdr:col>
      <xdr:colOff>216031</xdr:colOff>
      <xdr:row>20</xdr:row>
      <xdr:rowOff>108015</xdr:rowOff>
    </xdr:from>
    <xdr:to>
      <xdr:col>11</xdr:col>
      <xdr:colOff>363325</xdr:colOff>
      <xdr:row>21</xdr:row>
      <xdr:rowOff>78556</xdr:rowOff>
    </xdr:to>
    <xdr:cxnSp macro="">
      <xdr:nvCxnSpPr>
        <xdr:cNvPr id="44" name="直線矢印コネクタ 43"/>
        <xdr:cNvCxnSpPr/>
      </xdr:nvCxnSpPr>
      <xdr:spPr>
        <a:xfrm>
          <a:off x="4958892" y="3446675"/>
          <a:ext cx="2857500" cy="137474"/>
        </a:xfrm>
        <a:prstGeom prst="straightConnector1">
          <a:avLst/>
        </a:prstGeom>
        <a:ln w="1587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363325</xdr:colOff>
      <xdr:row>15</xdr:row>
      <xdr:rowOff>68737</xdr:rowOff>
    </xdr:from>
    <xdr:to>
      <xdr:col>12</xdr:col>
      <xdr:colOff>589175</xdr:colOff>
      <xdr:row>19</xdr:row>
      <xdr:rowOff>14926</xdr:rowOff>
    </xdr:to>
    <xdr:sp macro="" textlink="">
      <xdr:nvSpPr>
        <xdr:cNvPr id="45" name="角丸四角形吹き出し 44"/>
        <xdr:cNvSpPr/>
      </xdr:nvSpPr>
      <xdr:spPr>
        <a:xfrm>
          <a:off x="7138840" y="2572732"/>
          <a:ext cx="1580954" cy="613921"/>
        </a:xfrm>
        <a:prstGeom prst="wedgeRoundRectCallout">
          <a:avLst>
            <a:gd name="adj1" fmla="val -39943"/>
            <a:gd name="adj2" fmla="val 10184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が継続してた為、</a:t>
          </a:r>
          <a:endParaRPr kumimoji="1" lang="en-US" altLang="ja-JP" sz="1100"/>
        </a:p>
        <a:p>
          <a:pPr algn="ctr"/>
          <a:r>
            <a:rPr kumimoji="1" lang="ja-JP" altLang="en-US" sz="1100"/>
            <a:t>入るにしてもリスク落して入るべきなのに</a:t>
          </a:r>
          <a:r>
            <a:rPr kumimoji="1" lang="en-US" altLang="ja-JP" sz="1100"/>
            <a:t>orz</a:t>
          </a:r>
          <a:endParaRPr kumimoji="1" lang="ja-JP" altLang="en-US" sz="1100"/>
        </a:p>
      </xdr:txBody>
    </xdr:sp>
    <xdr:clientData/>
  </xdr:twoCellAnchor>
  <xdr:twoCellAnchor editAs="oneCell">
    <xdr:from>
      <xdr:col>0</xdr:col>
      <xdr:colOff>0</xdr:colOff>
      <xdr:row>30</xdr:row>
      <xdr:rowOff>9820</xdr:rowOff>
    </xdr:from>
    <xdr:to>
      <xdr:col>18</xdr:col>
      <xdr:colOff>161924</xdr:colOff>
      <xdr:row>58</xdr:row>
      <xdr:rowOff>117835</xdr:rowOff>
    </xdr:to>
    <xdr:pic>
      <xdr:nvPicPr>
        <xdr:cNvPr id="11266" name="Picture 2"/>
        <xdr:cNvPicPr>
          <a:picLocks noChangeAspect="1" noChangeArrowheads="1"/>
        </xdr:cNvPicPr>
      </xdr:nvPicPr>
      <xdr:blipFill>
        <a:blip xmlns:r="http://schemas.openxmlformats.org/officeDocument/2006/relationships" r:embed="rId4"/>
        <a:srcRect l="5198" t="19707" b="13180"/>
        <a:stretch>
          <a:fillRect/>
        </a:stretch>
      </xdr:blipFill>
      <xdr:spPr bwMode="auto">
        <a:xfrm>
          <a:off x="0" y="5017810"/>
          <a:ext cx="12357852" cy="4782138"/>
        </a:xfrm>
        <a:prstGeom prst="rect">
          <a:avLst/>
        </a:prstGeom>
        <a:noFill/>
        <a:ln w="1">
          <a:noFill/>
          <a:miter lim="800000"/>
          <a:headEnd/>
          <a:tailEnd type="none" w="med" len="med"/>
        </a:ln>
        <a:effectLst/>
      </xdr:spPr>
    </xdr:pic>
    <xdr:clientData/>
  </xdr:twoCellAnchor>
  <xdr:twoCellAnchor>
    <xdr:from>
      <xdr:col>0</xdr:col>
      <xdr:colOff>113122</xdr:colOff>
      <xdr:row>31</xdr:row>
      <xdr:rowOff>64023</xdr:rowOff>
    </xdr:from>
    <xdr:to>
      <xdr:col>1</xdr:col>
      <xdr:colOff>98196</xdr:colOff>
      <xdr:row>32</xdr:row>
      <xdr:rowOff>162219</xdr:rowOff>
    </xdr:to>
    <xdr:sp macro="" textlink="">
      <xdr:nvSpPr>
        <xdr:cNvPr id="47" name="テキスト ボックス 46"/>
        <xdr:cNvSpPr txBox="1"/>
      </xdr:nvSpPr>
      <xdr:spPr>
        <a:xfrm>
          <a:off x="113122" y="5238946"/>
          <a:ext cx="662626"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No.85</a:t>
          </a:r>
          <a:endParaRPr kumimoji="1" lang="ja-JP" altLang="en-US" sz="1100"/>
        </a:p>
      </xdr:txBody>
    </xdr:sp>
    <xdr:clientData/>
  </xdr:twoCellAnchor>
  <xdr:twoCellAnchor>
    <xdr:from>
      <xdr:col>0</xdr:col>
      <xdr:colOff>113122</xdr:colOff>
      <xdr:row>33</xdr:row>
      <xdr:rowOff>113119</xdr:rowOff>
    </xdr:from>
    <xdr:to>
      <xdr:col>2</xdr:col>
      <xdr:colOff>64024</xdr:colOff>
      <xdr:row>41</xdr:row>
      <xdr:rowOff>98194</xdr:rowOff>
    </xdr:to>
    <xdr:sp macro="" textlink="">
      <xdr:nvSpPr>
        <xdr:cNvPr id="48" name="テキスト ボックス 47"/>
        <xdr:cNvSpPr txBox="1"/>
      </xdr:nvSpPr>
      <xdr:spPr>
        <a:xfrm>
          <a:off x="113122" y="5621908"/>
          <a:ext cx="1306005" cy="13205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足ｗボトムのネックラインブレイクで買い</a:t>
          </a:r>
          <a:r>
            <a:rPr kumimoji="1" lang="en-US" altLang="ja-JP" sz="1100"/>
            <a:t>IN</a:t>
          </a:r>
        </a:p>
        <a:p>
          <a:r>
            <a:rPr kumimoji="1" lang="ja-JP" altLang="en-US" sz="1100"/>
            <a:t>日足で見える</a:t>
          </a:r>
          <a:r>
            <a:rPr kumimoji="1" lang="en-US" altLang="ja-JP" sz="1100"/>
            <a:t>T/L</a:t>
          </a:r>
          <a:r>
            <a:rPr kumimoji="1" lang="ja-JP" altLang="en-US" sz="1100"/>
            <a:t>を下抜けての</a:t>
          </a:r>
          <a:r>
            <a:rPr kumimoji="1" lang="en-US" altLang="ja-JP" sz="1100"/>
            <a:t>FS</a:t>
          </a:r>
          <a:r>
            <a:rPr kumimoji="1" lang="ja-JP" altLang="en-US" sz="1100"/>
            <a:t>の戻り始めと予想</a:t>
          </a:r>
          <a:endParaRPr kumimoji="1" lang="en-US" altLang="ja-JP" sz="1100"/>
        </a:p>
        <a:p>
          <a:r>
            <a:rPr kumimoji="1" lang="en-US" altLang="ja-JP" sz="1100"/>
            <a:t>…</a:t>
          </a:r>
          <a:r>
            <a:rPr kumimoji="1" lang="ja-JP" altLang="en-US" sz="1100"/>
            <a:t>したのに</a:t>
          </a:r>
        </a:p>
      </xdr:txBody>
    </xdr:sp>
    <xdr:clientData/>
  </xdr:twoCellAnchor>
  <xdr:twoCellAnchor>
    <xdr:from>
      <xdr:col>12</xdr:col>
      <xdr:colOff>476446</xdr:colOff>
      <xdr:row>44</xdr:row>
      <xdr:rowOff>132758</xdr:rowOff>
    </xdr:from>
    <xdr:to>
      <xdr:col>13</xdr:col>
      <xdr:colOff>299694</xdr:colOff>
      <xdr:row>46</xdr:row>
      <xdr:rowOff>64021</xdr:rowOff>
    </xdr:to>
    <xdr:sp macro="" textlink="">
      <xdr:nvSpPr>
        <xdr:cNvPr id="51" name="角丸四角形吹き出し 50"/>
        <xdr:cNvSpPr/>
      </xdr:nvSpPr>
      <xdr:spPr>
        <a:xfrm>
          <a:off x="8607065" y="7477810"/>
          <a:ext cx="500799" cy="265129"/>
        </a:xfrm>
        <a:prstGeom prst="wedgeRoundRectCallout">
          <a:avLst>
            <a:gd name="adj1" fmla="val 64304"/>
            <a:gd name="adj2" fmla="val 950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13</xdr:col>
      <xdr:colOff>677550</xdr:colOff>
      <xdr:row>49</xdr:row>
      <xdr:rowOff>49491</xdr:rowOff>
    </xdr:from>
    <xdr:to>
      <xdr:col>15</xdr:col>
      <xdr:colOff>333866</xdr:colOff>
      <xdr:row>52</xdr:row>
      <xdr:rowOff>29460</xdr:rowOff>
    </xdr:to>
    <xdr:sp macro="" textlink="">
      <xdr:nvSpPr>
        <xdr:cNvPr id="52" name="角丸四角形吹き出し 51"/>
        <xdr:cNvSpPr/>
      </xdr:nvSpPr>
      <xdr:spPr>
        <a:xfrm>
          <a:off x="9485720" y="8229207"/>
          <a:ext cx="1011419" cy="480768"/>
        </a:xfrm>
        <a:prstGeom prst="wedgeRoundRectCallout">
          <a:avLst>
            <a:gd name="adj1" fmla="val -42781"/>
            <a:gd name="adj2" fmla="val -10396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ビビってここで撤退。。</a:t>
          </a:r>
        </a:p>
      </xdr:txBody>
    </xdr:sp>
    <xdr:clientData/>
  </xdr:twoCellAnchor>
  <xdr:twoCellAnchor>
    <xdr:from>
      <xdr:col>14</xdr:col>
      <xdr:colOff>284768</xdr:colOff>
      <xdr:row>37</xdr:row>
      <xdr:rowOff>19639</xdr:rowOff>
    </xdr:from>
    <xdr:to>
      <xdr:col>16</xdr:col>
      <xdr:colOff>594281</xdr:colOff>
      <xdr:row>41</xdr:row>
      <xdr:rowOff>59310</xdr:rowOff>
    </xdr:to>
    <xdr:sp macro="" textlink="">
      <xdr:nvSpPr>
        <xdr:cNvPr id="53" name="角丸四角形吹き出し 52"/>
        <xdr:cNvSpPr/>
      </xdr:nvSpPr>
      <xdr:spPr>
        <a:xfrm>
          <a:off x="9770490" y="6196160"/>
          <a:ext cx="1664616" cy="707403"/>
        </a:xfrm>
        <a:prstGeom prst="wedgeRoundRectCallout">
          <a:avLst>
            <a:gd name="adj1" fmla="val -2832"/>
            <a:gd name="adj2" fmla="val 12314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大きな時間足での戻りが予想できる時はもう少し伸ばしてもイイかも</a:t>
          </a:r>
        </a:p>
      </xdr:txBody>
    </xdr:sp>
    <xdr:clientData/>
  </xdr:twoCellAnchor>
  <xdr:twoCellAnchor>
    <xdr:from>
      <xdr:col>16</xdr:col>
      <xdr:colOff>206212</xdr:colOff>
      <xdr:row>34</xdr:row>
      <xdr:rowOff>9820</xdr:rowOff>
    </xdr:from>
    <xdr:to>
      <xdr:col>17</xdr:col>
      <xdr:colOff>304801</xdr:colOff>
      <xdr:row>36</xdr:row>
      <xdr:rowOff>5499</xdr:rowOff>
    </xdr:to>
    <xdr:sp macro="" textlink="">
      <xdr:nvSpPr>
        <xdr:cNvPr id="54" name="角丸四角形吹き出し 53"/>
        <xdr:cNvSpPr/>
      </xdr:nvSpPr>
      <xdr:spPr>
        <a:xfrm>
          <a:off x="11047037" y="5685542"/>
          <a:ext cx="776140" cy="329545"/>
        </a:xfrm>
        <a:prstGeom prst="wedgeRoundRectCallout">
          <a:avLst>
            <a:gd name="adj1" fmla="val -42053"/>
            <a:gd name="adj2" fmla="val 11123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要検証！</a:t>
          </a:r>
          <a:endParaRPr kumimoji="1" lang="en-US" altLang="ja-JP" sz="1100" b="1"/>
        </a:p>
      </xdr:txBody>
    </xdr:sp>
    <xdr:clientData/>
  </xdr:twoCellAnchor>
  <xdr:twoCellAnchor>
    <xdr:from>
      <xdr:col>14</xdr:col>
      <xdr:colOff>623739</xdr:colOff>
      <xdr:row>45</xdr:row>
      <xdr:rowOff>123334</xdr:rowOff>
    </xdr:from>
    <xdr:to>
      <xdr:col>16</xdr:col>
      <xdr:colOff>363324</xdr:colOff>
      <xdr:row>48</xdr:row>
      <xdr:rowOff>103303</xdr:rowOff>
    </xdr:to>
    <xdr:sp macro="" textlink="">
      <xdr:nvSpPr>
        <xdr:cNvPr id="55" name="角丸四角形吹き出し 54"/>
        <xdr:cNvSpPr/>
      </xdr:nvSpPr>
      <xdr:spPr>
        <a:xfrm>
          <a:off x="10109461" y="7635319"/>
          <a:ext cx="1094688" cy="480768"/>
        </a:xfrm>
        <a:prstGeom prst="wedgeRoundRectCallout">
          <a:avLst>
            <a:gd name="adj1" fmla="val -84529"/>
            <a:gd name="adj2" fmla="val -4064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その後ターゲット到達</a:t>
          </a:r>
          <a:r>
            <a:rPr kumimoji="1" lang="en-US" altLang="ja-JP" sz="1100"/>
            <a:t>orz</a:t>
          </a:r>
          <a:endParaRPr kumimoji="1" lang="ja-JP" altLang="en-US" sz="1100"/>
        </a:p>
      </xdr:txBody>
    </xdr:sp>
    <xdr:clientData/>
  </xdr:twoCellAnchor>
  <xdr:twoCellAnchor>
    <xdr:from>
      <xdr:col>1</xdr:col>
      <xdr:colOff>240774</xdr:colOff>
      <xdr:row>43</xdr:row>
      <xdr:rowOff>5498</xdr:rowOff>
    </xdr:from>
    <xdr:to>
      <xdr:col>3</xdr:col>
      <xdr:colOff>9819</xdr:colOff>
      <xdr:row>45</xdr:row>
      <xdr:rowOff>152400</xdr:rowOff>
    </xdr:to>
    <xdr:sp macro="" textlink="">
      <xdr:nvSpPr>
        <xdr:cNvPr id="56" name="角丸四角形吹き出し 55"/>
        <xdr:cNvSpPr/>
      </xdr:nvSpPr>
      <xdr:spPr>
        <a:xfrm>
          <a:off x="918326" y="7183617"/>
          <a:ext cx="1124148" cy="480768"/>
        </a:xfrm>
        <a:prstGeom prst="wedgeRoundRectCallout">
          <a:avLst>
            <a:gd name="adj1" fmla="val -42781"/>
            <a:gd name="adj2" fmla="val -10396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ビビって建値付近で撤退</a:t>
          </a:r>
          <a:r>
            <a:rPr kumimoji="1" lang="en-US" altLang="ja-JP" sz="1100"/>
            <a:t>×</a:t>
          </a:r>
          <a:endParaRPr kumimoji="1" lang="ja-JP" altLang="en-US" sz="1100"/>
        </a:p>
      </xdr:txBody>
    </xdr:sp>
    <xdr:clientData/>
  </xdr:twoCellAnchor>
  <xdr:twoCellAnchor>
    <xdr:from>
      <xdr:col>2</xdr:col>
      <xdr:colOff>147685</xdr:colOff>
      <xdr:row>47</xdr:row>
      <xdr:rowOff>49883</xdr:rowOff>
    </xdr:from>
    <xdr:to>
      <xdr:col>4</xdr:col>
      <xdr:colOff>108016</xdr:colOff>
      <xdr:row>50</xdr:row>
      <xdr:rowOff>137475</xdr:rowOff>
    </xdr:to>
    <xdr:sp macro="" textlink="">
      <xdr:nvSpPr>
        <xdr:cNvPr id="57" name="角丸四角形吹き出し 56"/>
        <xdr:cNvSpPr/>
      </xdr:nvSpPr>
      <xdr:spPr>
        <a:xfrm>
          <a:off x="1502788" y="7895734"/>
          <a:ext cx="1315434" cy="588390"/>
        </a:xfrm>
        <a:prstGeom prst="wedgeRoundRectCallout">
          <a:avLst>
            <a:gd name="adj1" fmla="val -32330"/>
            <a:gd name="adj2" fmla="val -9227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理由：ｗ前のトレンドがきれいじゃなかったから</a:t>
          </a:r>
        </a:p>
      </xdr:txBody>
    </xdr:sp>
    <xdr:clientData/>
  </xdr:twoCellAnchor>
  <xdr:twoCellAnchor>
    <xdr:from>
      <xdr:col>4</xdr:col>
      <xdr:colOff>329542</xdr:colOff>
      <xdr:row>47</xdr:row>
      <xdr:rowOff>29458</xdr:rowOff>
    </xdr:from>
    <xdr:to>
      <xdr:col>6</xdr:col>
      <xdr:colOff>373145</xdr:colOff>
      <xdr:row>50</xdr:row>
      <xdr:rowOff>142581</xdr:rowOff>
    </xdr:to>
    <xdr:sp macro="" textlink="">
      <xdr:nvSpPr>
        <xdr:cNvPr id="58" name="角丸四角形吹き出し 57"/>
        <xdr:cNvSpPr/>
      </xdr:nvSpPr>
      <xdr:spPr>
        <a:xfrm>
          <a:off x="3039748" y="7875309"/>
          <a:ext cx="1398706" cy="613921"/>
        </a:xfrm>
        <a:prstGeom prst="wedgeRoundRectCallout">
          <a:avLst>
            <a:gd name="adj1" fmla="val -71148"/>
            <a:gd name="adj2" fmla="val -1217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大きな時間足でのチャートパターンの方が信頼性高そう</a:t>
          </a:r>
        </a:p>
      </xdr:txBody>
    </xdr:sp>
    <xdr:clientData/>
  </xdr:twoCellAnchor>
  <xdr:twoCellAnchor editAs="oneCell">
    <xdr:from>
      <xdr:col>0</xdr:col>
      <xdr:colOff>0</xdr:colOff>
      <xdr:row>59</xdr:row>
      <xdr:rowOff>157113</xdr:rowOff>
    </xdr:from>
    <xdr:to>
      <xdr:col>18</xdr:col>
      <xdr:colOff>191383</xdr:colOff>
      <xdr:row>88</xdr:row>
      <xdr:rowOff>127654</xdr:rowOff>
    </xdr:to>
    <xdr:pic>
      <xdr:nvPicPr>
        <xdr:cNvPr id="11267" name="Picture 3"/>
        <xdr:cNvPicPr>
          <a:picLocks noChangeAspect="1" noChangeArrowheads="1"/>
        </xdr:cNvPicPr>
      </xdr:nvPicPr>
      <xdr:blipFill>
        <a:blip xmlns:r="http://schemas.openxmlformats.org/officeDocument/2006/relationships" r:embed="rId5"/>
        <a:srcRect l="4972" t="19569" b="12904"/>
        <a:stretch>
          <a:fillRect/>
        </a:stretch>
      </xdr:blipFill>
      <xdr:spPr bwMode="auto">
        <a:xfrm>
          <a:off x="0" y="10006159"/>
          <a:ext cx="12387311" cy="4811598"/>
        </a:xfrm>
        <a:prstGeom prst="rect">
          <a:avLst/>
        </a:prstGeom>
        <a:noFill/>
        <a:ln w="1">
          <a:noFill/>
          <a:miter lim="800000"/>
          <a:headEnd/>
          <a:tailEnd type="none" w="med" len="med"/>
        </a:ln>
        <a:effectLst/>
      </xdr:spPr>
    </xdr:pic>
    <xdr:clientData/>
  </xdr:twoCellAnchor>
  <xdr:twoCellAnchor>
    <xdr:from>
      <xdr:col>0</xdr:col>
      <xdr:colOff>88770</xdr:colOff>
      <xdr:row>61</xdr:row>
      <xdr:rowOff>78950</xdr:rowOff>
    </xdr:from>
    <xdr:to>
      <xdr:col>1</xdr:col>
      <xdr:colOff>73844</xdr:colOff>
      <xdr:row>63</xdr:row>
      <xdr:rowOff>10213</xdr:rowOff>
    </xdr:to>
    <xdr:sp macro="" textlink="">
      <xdr:nvSpPr>
        <xdr:cNvPr id="60" name="テキスト ボックス 59"/>
        <xdr:cNvSpPr txBox="1"/>
      </xdr:nvSpPr>
      <xdr:spPr>
        <a:xfrm>
          <a:off x="88770" y="10261862"/>
          <a:ext cx="662626"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No.86</a:t>
          </a:r>
          <a:endParaRPr kumimoji="1" lang="ja-JP" altLang="en-US" sz="1100"/>
        </a:p>
      </xdr:txBody>
    </xdr:sp>
    <xdr:clientData/>
  </xdr:twoCellAnchor>
  <xdr:twoCellAnchor>
    <xdr:from>
      <xdr:col>0</xdr:col>
      <xdr:colOff>88770</xdr:colOff>
      <xdr:row>63</xdr:row>
      <xdr:rowOff>128046</xdr:rowOff>
    </xdr:from>
    <xdr:to>
      <xdr:col>2</xdr:col>
      <xdr:colOff>39672</xdr:colOff>
      <xdr:row>71</xdr:row>
      <xdr:rowOff>113121</xdr:rowOff>
    </xdr:to>
    <xdr:sp macro="" textlink="">
      <xdr:nvSpPr>
        <xdr:cNvPr id="61" name="テキスト ボックス 60"/>
        <xdr:cNvSpPr txBox="1"/>
      </xdr:nvSpPr>
      <xdr:spPr>
        <a:xfrm>
          <a:off x="88770" y="10644824"/>
          <a:ext cx="1306005" cy="13205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足ｗトップのネックラインブレイクで売り</a:t>
          </a:r>
          <a:r>
            <a:rPr kumimoji="1" lang="en-US" altLang="ja-JP" sz="1100"/>
            <a:t>IN</a:t>
          </a:r>
        </a:p>
        <a:p>
          <a:r>
            <a:rPr kumimoji="1" lang="ja-JP" altLang="en-US" sz="1100"/>
            <a:t>大きな時間足でも</a:t>
          </a:r>
          <a:r>
            <a:rPr kumimoji="1" lang="en-US" altLang="ja-JP" sz="1100"/>
            <a:t>S/R</a:t>
          </a:r>
          <a:r>
            <a:rPr kumimoji="1" lang="ja-JP" altLang="en-US" sz="1100"/>
            <a:t>等は特に見当たらない相場だった</a:t>
          </a:r>
        </a:p>
      </xdr:txBody>
    </xdr:sp>
    <xdr:clientData/>
  </xdr:twoCellAnchor>
  <xdr:twoCellAnchor>
    <xdr:from>
      <xdr:col>12</xdr:col>
      <xdr:colOff>540470</xdr:colOff>
      <xdr:row>64</xdr:row>
      <xdr:rowOff>88767</xdr:rowOff>
    </xdr:from>
    <xdr:to>
      <xdr:col>13</xdr:col>
      <xdr:colOff>363718</xdr:colOff>
      <xdr:row>66</xdr:row>
      <xdr:rowOff>20030</xdr:rowOff>
    </xdr:to>
    <xdr:sp macro="" textlink="">
      <xdr:nvSpPr>
        <xdr:cNvPr id="64" name="角丸四角形吹き出し 63"/>
        <xdr:cNvSpPr/>
      </xdr:nvSpPr>
      <xdr:spPr>
        <a:xfrm>
          <a:off x="8671089" y="10772478"/>
          <a:ext cx="500799" cy="265129"/>
        </a:xfrm>
        <a:prstGeom prst="wedgeRoundRectCallout">
          <a:avLst>
            <a:gd name="adj1" fmla="val 60382"/>
            <a:gd name="adj2" fmla="val -10120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14</xdr:col>
      <xdr:colOff>64417</xdr:colOff>
      <xdr:row>65</xdr:row>
      <xdr:rowOff>142971</xdr:rowOff>
    </xdr:from>
    <xdr:to>
      <xdr:col>14</xdr:col>
      <xdr:colOff>565216</xdr:colOff>
      <xdr:row>67</xdr:row>
      <xdr:rowOff>74234</xdr:rowOff>
    </xdr:to>
    <xdr:sp macro="" textlink="">
      <xdr:nvSpPr>
        <xdr:cNvPr id="65" name="角丸四角形吹き出し 64"/>
        <xdr:cNvSpPr/>
      </xdr:nvSpPr>
      <xdr:spPr>
        <a:xfrm>
          <a:off x="9550139" y="10993615"/>
          <a:ext cx="500799" cy="265129"/>
        </a:xfrm>
        <a:prstGeom prst="wedgeRoundRectCallout">
          <a:avLst>
            <a:gd name="adj1" fmla="val -63147"/>
            <a:gd name="adj2" fmla="val -11601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10</xdr:col>
      <xdr:colOff>471340</xdr:colOff>
      <xdr:row>60</xdr:row>
      <xdr:rowOff>133152</xdr:rowOff>
    </xdr:from>
    <xdr:to>
      <xdr:col>12</xdr:col>
      <xdr:colOff>378643</xdr:colOff>
      <xdr:row>63</xdr:row>
      <xdr:rowOff>39279</xdr:rowOff>
    </xdr:to>
    <xdr:sp macro="" textlink="">
      <xdr:nvSpPr>
        <xdr:cNvPr id="66" name="角丸四角形吹き出し 65"/>
        <xdr:cNvSpPr/>
      </xdr:nvSpPr>
      <xdr:spPr>
        <a:xfrm>
          <a:off x="7246855" y="10149131"/>
          <a:ext cx="1262407" cy="406926"/>
        </a:xfrm>
        <a:prstGeom prst="wedgeRoundRectCallout">
          <a:avLst>
            <a:gd name="adj1" fmla="val 74366"/>
            <a:gd name="adj2" fmla="val -2937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右肩の方が</a:t>
          </a:r>
          <a:r>
            <a:rPr kumimoji="1" lang="en-US" altLang="ja-JP" sz="1100"/>
            <a:t>0.1pip</a:t>
          </a:r>
          <a:r>
            <a:rPr kumimoji="1" lang="ja-JP" altLang="en-US" sz="1100"/>
            <a:t>高かった</a:t>
          </a:r>
        </a:p>
      </xdr:txBody>
    </xdr:sp>
    <xdr:clientData/>
  </xdr:twoCellAnchor>
  <xdr:twoCellAnchor editAs="oneCell">
    <xdr:from>
      <xdr:col>0</xdr:col>
      <xdr:colOff>0</xdr:colOff>
      <xdr:row>89</xdr:row>
      <xdr:rowOff>157114</xdr:rowOff>
    </xdr:from>
    <xdr:to>
      <xdr:col>18</xdr:col>
      <xdr:colOff>191383</xdr:colOff>
      <xdr:row>118</xdr:row>
      <xdr:rowOff>88376</xdr:rowOff>
    </xdr:to>
    <xdr:pic>
      <xdr:nvPicPr>
        <xdr:cNvPr id="11268" name="Picture 4"/>
        <xdr:cNvPicPr>
          <a:picLocks noChangeAspect="1" noChangeArrowheads="1"/>
        </xdr:cNvPicPr>
      </xdr:nvPicPr>
      <xdr:blipFill>
        <a:blip xmlns:r="http://schemas.openxmlformats.org/officeDocument/2006/relationships" r:embed="rId6"/>
        <a:srcRect l="4972" t="19707" b="13318"/>
        <a:stretch>
          <a:fillRect/>
        </a:stretch>
      </xdr:blipFill>
      <xdr:spPr bwMode="auto">
        <a:xfrm>
          <a:off x="0" y="15014150"/>
          <a:ext cx="12387311" cy="4772319"/>
        </a:xfrm>
        <a:prstGeom prst="rect">
          <a:avLst/>
        </a:prstGeom>
        <a:noFill/>
        <a:ln w="1">
          <a:noFill/>
          <a:miter lim="800000"/>
          <a:headEnd/>
          <a:tailEnd type="none" w="med" len="med"/>
        </a:ln>
        <a:effectLst/>
      </xdr:spPr>
    </xdr:pic>
    <xdr:clientData/>
  </xdr:twoCellAnchor>
  <xdr:twoCellAnchor>
    <xdr:from>
      <xdr:col>0</xdr:col>
      <xdr:colOff>103696</xdr:colOff>
      <xdr:row>91</xdr:row>
      <xdr:rowOff>54597</xdr:rowOff>
    </xdr:from>
    <xdr:to>
      <xdr:col>1</xdr:col>
      <xdr:colOff>88770</xdr:colOff>
      <xdr:row>92</xdr:row>
      <xdr:rowOff>152793</xdr:rowOff>
    </xdr:to>
    <xdr:sp macro="" textlink="">
      <xdr:nvSpPr>
        <xdr:cNvPr id="68" name="テキスト ボックス 67"/>
        <xdr:cNvSpPr txBox="1"/>
      </xdr:nvSpPr>
      <xdr:spPr>
        <a:xfrm>
          <a:off x="103696" y="15245499"/>
          <a:ext cx="662626"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No.87</a:t>
          </a:r>
          <a:endParaRPr kumimoji="1" lang="ja-JP" altLang="en-US" sz="1100"/>
        </a:p>
      </xdr:txBody>
    </xdr:sp>
    <xdr:clientData/>
  </xdr:twoCellAnchor>
  <xdr:twoCellAnchor>
    <xdr:from>
      <xdr:col>0</xdr:col>
      <xdr:colOff>103696</xdr:colOff>
      <xdr:row>93</xdr:row>
      <xdr:rowOff>103693</xdr:rowOff>
    </xdr:from>
    <xdr:to>
      <xdr:col>2</xdr:col>
      <xdr:colOff>54598</xdr:colOff>
      <xdr:row>102</xdr:row>
      <xdr:rowOff>98196</xdr:rowOff>
    </xdr:to>
    <xdr:sp macro="" textlink="">
      <xdr:nvSpPr>
        <xdr:cNvPr id="69" name="テキスト ボックス 68"/>
        <xdr:cNvSpPr txBox="1"/>
      </xdr:nvSpPr>
      <xdr:spPr>
        <a:xfrm>
          <a:off x="103696" y="15628461"/>
          <a:ext cx="1306005" cy="149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足ｗトップのネックラインブレイクで売り</a:t>
          </a:r>
          <a:r>
            <a:rPr kumimoji="1" lang="en-US" altLang="ja-JP" sz="1100"/>
            <a:t>IN</a:t>
          </a:r>
        </a:p>
        <a:p>
          <a:r>
            <a:rPr kumimoji="1" lang="ja-JP" altLang="en-US" sz="1100"/>
            <a:t>大きな時間足でチャネルを下抜けていて</a:t>
          </a:r>
          <a:r>
            <a:rPr kumimoji="1" lang="en-US" altLang="ja-JP" sz="1100"/>
            <a:t>FS</a:t>
          </a:r>
          <a:r>
            <a:rPr kumimoji="1" lang="ja-JP" altLang="en-US" sz="1100"/>
            <a:t>も消化後の下落相場</a:t>
          </a:r>
          <a:endParaRPr kumimoji="1" lang="en-US" altLang="ja-JP" sz="1100"/>
        </a:p>
        <a:p>
          <a:r>
            <a:rPr kumimoji="1" lang="ja-JP" altLang="en-US" sz="1100"/>
            <a:t>⇒短期の戻り狙い</a:t>
          </a:r>
        </a:p>
      </xdr:txBody>
    </xdr:sp>
    <xdr:clientData/>
  </xdr:twoCellAnchor>
  <xdr:twoCellAnchor>
    <xdr:from>
      <xdr:col>12</xdr:col>
      <xdr:colOff>280447</xdr:colOff>
      <xdr:row>103</xdr:row>
      <xdr:rowOff>34956</xdr:rowOff>
    </xdr:from>
    <xdr:to>
      <xdr:col>13</xdr:col>
      <xdr:colOff>103695</xdr:colOff>
      <xdr:row>104</xdr:row>
      <xdr:rowOff>133152</xdr:rowOff>
    </xdr:to>
    <xdr:sp macro="" textlink="">
      <xdr:nvSpPr>
        <xdr:cNvPr id="70" name="角丸四角形吹き出し 69"/>
        <xdr:cNvSpPr/>
      </xdr:nvSpPr>
      <xdr:spPr>
        <a:xfrm>
          <a:off x="8411066" y="17229054"/>
          <a:ext cx="500799" cy="265129"/>
        </a:xfrm>
        <a:prstGeom prst="wedgeRoundRectCallout">
          <a:avLst>
            <a:gd name="adj1" fmla="val 70186"/>
            <a:gd name="adj2" fmla="val 8027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13</xdr:col>
      <xdr:colOff>540865</xdr:colOff>
      <xdr:row>105</xdr:row>
      <xdr:rowOff>108798</xdr:rowOff>
    </xdr:from>
    <xdr:to>
      <xdr:col>14</xdr:col>
      <xdr:colOff>364112</xdr:colOff>
      <xdr:row>107</xdr:row>
      <xdr:rowOff>40061</xdr:rowOff>
    </xdr:to>
    <xdr:sp macro="" textlink="">
      <xdr:nvSpPr>
        <xdr:cNvPr id="71" name="角丸四角形吹き出し 70"/>
        <xdr:cNvSpPr/>
      </xdr:nvSpPr>
      <xdr:spPr>
        <a:xfrm>
          <a:off x="9349035" y="17636762"/>
          <a:ext cx="500799" cy="265129"/>
        </a:xfrm>
        <a:prstGeom prst="wedgeRoundRectCallout">
          <a:avLst>
            <a:gd name="adj1" fmla="val -63147"/>
            <a:gd name="adj2" fmla="val -11601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12</xdr:col>
      <xdr:colOff>579360</xdr:colOff>
      <xdr:row>60</xdr:row>
      <xdr:rowOff>98195</xdr:rowOff>
    </xdr:from>
    <xdr:to>
      <xdr:col>14</xdr:col>
      <xdr:colOff>117836</xdr:colOff>
      <xdr:row>64</xdr:row>
      <xdr:rowOff>98194</xdr:rowOff>
    </xdr:to>
    <xdr:cxnSp macro="">
      <xdr:nvCxnSpPr>
        <xdr:cNvPr id="72" name="直線コネクタ 71"/>
        <xdr:cNvCxnSpPr/>
      </xdr:nvCxnSpPr>
      <xdr:spPr>
        <a:xfrm rot="10800000" flipV="1">
          <a:off x="8709979" y="10114174"/>
          <a:ext cx="893579" cy="667731"/>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119</xdr:row>
      <xdr:rowOff>137474</xdr:rowOff>
    </xdr:from>
    <xdr:to>
      <xdr:col>18</xdr:col>
      <xdr:colOff>201203</xdr:colOff>
      <xdr:row>146</xdr:row>
      <xdr:rowOff>157114</xdr:rowOff>
    </xdr:to>
    <xdr:pic>
      <xdr:nvPicPr>
        <xdr:cNvPr id="10241" name="Picture 1"/>
        <xdr:cNvPicPr>
          <a:picLocks noChangeAspect="1" noChangeArrowheads="1"/>
        </xdr:cNvPicPr>
      </xdr:nvPicPr>
      <xdr:blipFill>
        <a:blip xmlns:r="http://schemas.openxmlformats.org/officeDocument/2006/relationships" r:embed="rId7"/>
        <a:srcRect l="4896" t="19845" b="16625"/>
        <a:stretch>
          <a:fillRect/>
        </a:stretch>
      </xdr:blipFill>
      <xdr:spPr bwMode="auto">
        <a:xfrm>
          <a:off x="0" y="20002500"/>
          <a:ext cx="12397131" cy="4526830"/>
        </a:xfrm>
        <a:prstGeom prst="rect">
          <a:avLst/>
        </a:prstGeom>
        <a:noFill/>
        <a:ln w="1">
          <a:noFill/>
          <a:miter lim="800000"/>
          <a:headEnd/>
          <a:tailEnd type="none" w="med" len="med"/>
        </a:ln>
        <a:effectLst/>
      </xdr:spPr>
    </xdr:pic>
    <xdr:clientData/>
  </xdr:twoCellAnchor>
  <xdr:twoCellAnchor>
    <xdr:from>
      <xdr:col>0</xdr:col>
      <xdr:colOff>98196</xdr:colOff>
      <xdr:row>121</xdr:row>
      <xdr:rowOff>19639</xdr:rowOff>
    </xdr:from>
    <xdr:to>
      <xdr:col>4</xdr:col>
      <xdr:colOff>441882</xdr:colOff>
      <xdr:row>124</xdr:row>
      <xdr:rowOff>49098</xdr:rowOff>
    </xdr:to>
    <xdr:sp macro="" textlink="">
      <xdr:nvSpPr>
        <xdr:cNvPr id="76" name="テキスト ボックス 75"/>
        <xdr:cNvSpPr txBox="1"/>
      </xdr:nvSpPr>
      <xdr:spPr>
        <a:xfrm>
          <a:off x="98196" y="20218531"/>
          <a:ext cx="3053892" cy="5302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kumimoji="1" lang="ja-JP" altLang="en-US" sz="1100" b="0"/>
            <a:t>番外：負けて</a:t>
          </a:r>
          <a:r>
            <a:rPr kumimoji="1" lang="ja-JP" altLang="en-US" sz="1100"/>
            <a:t>もしかたなしパターン</a:t>
          </a:r>
          <a:r>
            <a:rPr kumimoji="1" lang="en-US" altLang="ja-JP" sz="1100"/>
            <a:t>by</a:t>
          </a:r>
          <a:r>
            <a:rPr kumimoji="1" lang="ja-JP" altLang="en-US" sz="1100"/>
            <a:t>ともひろくん</a:t>
          </a:r>
          <a:r>
            <a:rPr kumimoji="1" lang="en-US" altLang="ja-JP" sz="1100"/>
            <a:t>at4</a:t>
          </a:r>
          <a:r>
            <a:rPr kumimoji="1" lang="ja-JP" altLang="en-US" sz="1100"/>
            <a:t>月大阪勉強会</a:t>
          </a:r>
        </a:p>
      </xdr:txBody>
    </xdr:sp>
    <xdr:clientData/>
  </xdr:twoCellAnchor>
  <xdr:twoCellAnchor>
    <xdr:from>
      <xdr:col>16</xdr:col>
      <xdr:colOff>245489</xdr:colOff>
      <xdr:row>121</xdr:row>
      <xdr:rowOff>157113</xdr:rowOff>
    </xdr:from>
    <xdr:to>
      <xdr:col>17</xdr:col>
      <xdr:colOff>382963</xdr:colOff>
      <xdr:row>125</xdr:row>
      <xdr:rowOff>0</xdr:rowOff>
    </xdr:to>
    <xdr:sp macro="" textlink="">
      <xdr:nvSpPr>
        <xdr:cNvPr id="77" name="角丸四角形吹き出し 76"/>
        <xdr:cNvSpPr/>
      </xdr:nvSpPr>
      <xdr:spPr>
        <a:xfrm>
          <a:off x="11086314" y="20356005"/>
          <a:ext cx="815025" cy="510619"/>
        </a:xfrm>
        <a:prstGeom prst="wedgeRoundRectCallout">
          <a:avLst>
            <a:gd name="adj1" fmla="val -97817"/>
            <a:gd name="adj2" fmla="val 5121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endParaRPr kumimoji="1" lang="en-US" altLang="ja-JP" sz="1100"/>
        </a:p>
        <a:p>
          <a:pPr algn="ctr"/>
          <a:r>
            <a:rPr kumimoji="1" lang="ja-JP" altLang="en-US" sz="1100"/>
            <a:t>フェイク</a:t>
          </a:r>
        </a:p>
      </xdr:txBody>
    </xdr:sp>
    <xdr:clientData/>
  </xdr:twoCellAnchor>
  <xdr:twoCellAnchor>
    <xdr:from>
      <xdr:col>7</xdr:col>
      <xdr:colOff>446987</xdr:colOff>
      <xdr:row>157</xdr:row>
      <xdr:rowOff>5106</xdr:rowOff>
    </xdr:from>
    <xdr:to>
      <xdr:col>8</xdr:col>
      <xdr:colOff>584461</xdr:colOff>
      <xdr:row>160</xdr:row>
      <xdr:rowOff>14926</xdr:rowOff>
    </xdr:to>
    <xdr:sp macro="" textlink="">
      <xdr:nvSpPr>
        <xdr:cNvPr id="74" name="角丸四角形吹き出し 73"/>
        <xdr:cNvSpPr/>
      </xdr:nvSpPr>
      <xdr:spPr>
        <a:xfrm>
          <a:off x="5189848" y="26213585"/>
          <a:ext cx="815025" cy="510619"/>
        </a:xfrm>
        <a:prstGeom prst="wedgeRoundRectCallout">
          <a:avLst>
            <a:gd name="adj1" fmla="val 55195"/>
            <a:gd name="adj2" fmla="val -7763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endParaRPr kumimoji="1" lang="en-US" altLang="ja-JP" sz="1100"/>
        </a:p>
        <a:p>
          <a:pPr algn="ctr"/>
          <a:r>
            <a:rPr kumimoji="1" lang="ja-JP" altLang="en-US" sz="1100"/>
            <a:t>売り</a:t>
          </a:r>
          <a:r>
            <a:rPr kumimoji="1" lang="en-US" altLang="ja-JP" sz="1100"/>
            <a:t>IN</a:t>
          </a:r>
          <a:endParaRPr kumimoji="1" lang="ja-JP" altLang="en-US" sz="1100"/>
        </a:p>
      </xdr:txBody>
    </xdr:sp>
    <xdr:clientData/>
  </xdr:twoCellAnchor>
  <xdr:twoCellAnchor>
    <xdr:from>
      <xdr:col>16</xdr:col>
      <xdr:colOff>147685</xdr:colOff>
      <xdr:row>211</xdr:row>
      <xdr:rowOff>128047</xdr:rowOff>
    </xdr:from>
    <xdr:to>
      <xdr:col>17</xdr:col>
      <xdr:colOff>285159</xdr:colOff>
      <xdr:row>214</xdr:row>
      <xdr:rowOff>137867</xdr:rowOff>
    </xdr:to>
    <xdr:sp macro="" textlink="">
      <xdr:nvSpPr>
        <xdr:cNvPr id="75" name="角丸四角形吹き出し 74"/>
        <xdr:cNvSpPr/>
      </xdr:nvSpPr>
      <xdr:spPr>
        <a:xfrm>
          <a:off x="10988510" y="30342918"/>
          <a:ext cx="815025" cy="510619"/>
        </a:xfrm>
        <a:prstGeom prst="wedgeRoundRectCallout">
          <a:avLst>
            <a:gd name="adj1" fmla="val -56853"/>
            <a:gd name="adj2" fmla="val -8532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L/S</a:t>
          </a:r>
          <a:r>
            <a:rPr kumimoji="1" lang="ja-JP" altLang="en-US" sz="1100"/>
            <a:t>設定</a:t>
          </a:r>
          <a:endParaRPr kumimoji="1" lang="en-US" altLang="ja-JP" sz="1100"/>
        </a:p>
        <a:p>
          <a:pPr algn="ctr"/>
          <a:r>
            <a:rPr kumimoji="1" lang="ja-JP" altLang="en-US" sz="1100"/>
            <a:t>ライン</a:t>
          </a:r>
        </a:p>
      </xdr:txBody>
    </xdr:sp>
    <xdr:clientData/>
  </xdr:twoCellAnchor>
  <xdr:twoCellAnchor>
    <xdr:from>
      <xdr:col>8</xdr:col>
      <xdr:colOff>481160</xdr:colOff>
      <xdr:row>162</xdr:row>
      <xdr:rowOff>54596</xdr:rowOff>
    </xdr:from>
    <xdr:to>
      <xdr:col>10</xdr:col>
      <xdr:colOff>569538</xdr:colOff>
      <xdr:row>167</xdr:row>
      <xdr:rowOff>29459</xdr:rowOff>
    </xdr:to>
    <xdr:sp macro="" textlink="">
      <xdr:nvSpPr>
        <xdr:cNvPr id="80" name="角丸四角形吹き出し 79"/>
        <xdr:cNvSpPr/>
      </xdr:nvSpPr>
      <xdr:spPr>
        <a:xfrm>
          <a:off x="5901572" y="27097740"/>
          <a:ext cx="1443481" cy="809528"/>
        </a:xfrm>
        <a:prstGeom prst="wedgeRoundRectCallout">
          <a:avLst>
            <a:gd name="adj1" fmla="val 42712"/>
            <a:gd name="adj2" fmla="val -918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ターゲット設定した</a:t>
          </a:r>
          <a:endParaRPr kumimoji="1" lang="en-US" altLang="ja-JP" sz="1100"/>
        </a:p>
        <a:p>
          <a:pPr algn="ctr"/>
          <a:r>
            <a:rPr kumimoji="1" lang="en-US" altLang="ja-JP" sz="1100"/>
            <a:t>-61.8</a:t>
          </a:r>
          <a:r>
            <a:rPr kumimoji="1" lang="ja-JP" altLang="en-US" sz="1100"/>
            <a:t>を大きく下抜けたが、スプレッド拡大で決済されず</a:t>
          </a:r>
          <a:r>
            <a:rPr kumimoji="1" lang="en-US" altLang="ja-JP" sz="1100"/>
            <a:t>…</a:t>
          </a:r>
          <a:endParaRPr kumimoji="1" lang="ja-JP" altLang="en-US" sz="1100"/>
        </a:p>
      </xdr:txBody>
    </xdr:sp>
    <xdr:clientData/>
  </xdr:twoCellAnchor>
  <xdr:twoCellAnchor>
    <xdr:from>
      <xdr:col>13</xdr:col>
      <xdr:colOff>639060</xdr:colOff>
      <xdr:row>218</xdr:row>
      <xdr:rowOff>98981</xdr:rowOff>
    </xdr:from>
    <xdr:to>
      <xdr:col>15</xdr:col>
      <xdr:colOff>437169</xdr:colOff>
      <xdr:row>221</xdr:row>
      <xdr:rowOff>108801</xdr:rowOff>
    </xdr:to>
    <xdr:sp macro="" textlink="">
      <xdr:nvSpPr>
        <xdr:cNvPr id="81" name="角丸四角形吹き出し 80"/>
        <xdr:cNvSpPr/>
      </xdr:nvSpPr>
      <xdr:spPr>
        <a:xfrm>
          <a:off x="9447230" y="26474393"/>
          <a:ext cx="1153212" cy="510619"/>
        </a:xfrm>
        <a:prstGeom prst="wedgeRoundRectCallout">
          <a:avLst>
            <a:gd name="adj1" fmla="val -84501"/>
            <a:gd name="adj2" fmla="val -8532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その後ターゲット到達</a:t>
          </a:r>
          <a:r>
            <a:rPr kumimoji="1" lang="en-US" altLang="ja-JP" sz="1100"/>
            <a:t>orz</a:t>
          </a:r>
          <a:endParaRPr kumimoji="1" lang="ja-JP" altLang="en-US" sz="1100"/>
        </a:p>
      </xdr:txBody>
    </xdr:sp>
    <xdr:clientData/>
  </xdr:twoCellAnchor>
  <xdr:twoCellAnchor>
    <xdr:from>
      <xdr:col>0</xdr:col>
      <xdr:colOff>89164</xdr:colOff>
      <xdr:row>149</xdr:row>
      <xdr:rowOff>69524</xdr:rowOff>
    </xdr:from>
    <xdr:to>
      <xdr:col>1</xdr:col>
      <xdr:colOff>74238</xdr:colOff>
      <xdr:row>151</xdr:row>
      <xdr:rowOff>787</xdr:rowOff>
    </xdr:to>
    <xdr:sp macro="" textlink="">
      <xdr:nvSpPr>
        <xdr:cNvPr id="82" name="テキスト ボックス 81"/>
        <xdr:cNvSpPr txBox="1"/>
      </xdr:nvSpPr>
      <xdr:spPr>
        <a:xfrm>
          <a:off x="89164" y="24942539"/>
          <a:ext cx="662626"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No.88</a:t>
          </a:r>
          <a:endParaRPr kumimoji="1" lang="ja-JP" altLang="en-US" sz="1100"/>
        </a:p>
      </xdr:txBody>
    </xdr:sp>
    <xdr:clientData/>
  </xdr:twoCellAnchor>
  <xdr:twoCellAnchor>
    <xdr:from>
      <xdr:col>0</xdr:col>
      <xdr:colOff>84451</xdr:colOff>
      <xdr:row>209</xdr:row>
      <xdr:rowOff>104088</xdr:rowOff>
    </xdr:from>
    <xdr:to>
      <xdr:col>1</xdr:col>
      <xdr:colOff>69525</xdr:colOff>
      <xdr:row>211</xdr:row>
      <xdr:rowOff>35351</xdr:rowOff>
    </xdr:to>
    <xdr:sp macro="" textlink="">
      <xdr:nvSpPr>
        <xdr:cNvPr id="83" name="テキスト ボックス 82"/>
        <xdr:cNvSpPr txBox="1"/>
      </xdr:nvSpPr>
      <xdr:spPr>
        <a:xfrm>
          <a:off x="84451" y="29985093"/>
          <a:ext cx="662626"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No.90</a:t>
          </a:r>
        </a:p>
      </xdr:txBody>
    </xdr:sp>
    <xdr:clientData/>
  </xdr:twoCellAnchor>
  <xdr:twoCellAnchor>
    <xdr:from>
      <xdr:col>0</xdr:col>
      <xdr:colOff>89163</xdr:colOff>
      <xdr:row>151</xdr:row>
      <xdr:rowOff>98980</xdr:rowOff>
    </xdr:from>
    <xdr:to>
      <xdr:col>2</xdr:col>
      <xdr:colOff>40065</xdr:colOff>
      <xdr:row>155</xdr:row>
      <xdr:rowOff>58918</xdr:rowOff>
    </xdr:to>
    <xdr:sp macro="" textlink="">
      <xdr:nvSpPr>
        <xdr:cNvPr id="84" name="テキスト ボックス 83"/>
        <xdr:cNvSpPr txBox="1"/>
      </xdr:nvSpPr>
      <xdr:spPr>
        <a:xfrm>
          <a:off x="89163" y="25305861"/>
          <a:ext cx="1306005" cy="627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足ｗトップのネックラインブレイクで売り</a:t>
          </a:r>
          <a:r>
            <a:rPr kumimoji="1" lang="en-US" altLang="ja-JP" sz="1100"/>
            <a:t>IN</a:t>
          </a:r>
        </a:p>
      </xdr:txBody>
    </xdr:sp>
    <xdr:clientData/>
  </xdr:twoCellAnchor>
  <xdr:twoCellAnchor>
    <xdr:from>
      <xdr:col>11</xdr:col>
      <xdr:colOff>201498</xdr:colOff>
      <xdr:row>162</xdr:row>
      <xdr:rowOff>59703</xdr:rowOff>
    </xdr:from>
    <xdr:to>
      <xdr:col>13</xdr:col>
      <xdr:colOff>147294</xdr:colOff>
      <xdr:row>166</xdr:row>
      <xdr:rowOff>78557</xdr:rowOff>
    </xdr:to>
    <xdr:sp macro="" textlink="">
      <xdr:nvSpPr>
        <xdr:cNvPr id="85" name="角丸四角形吹き出し 84"/>
        <xdr:cNvSpPr/>
      </xdr:nvSpPr>
      <xdr:spPr>
        <a:xfrm>
          <a:off x="7654565" y="27102847"/>
          <a:ext cx="1300899" cy="686586"/>
        </a:xfrm>
        <a:prstGeom prst="wedgeRoundRectCallout">
          <a:avLst>
            <a:gd name="adj1" fmla="val -17460"/>
            <a:gd name="adj2" fmla="val -7572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２回目のターゲット到達時、欲が出て決済せず</a:t>
          </a:r>
          <a:r>
            <a:rPr kumimoji="1" lang="en-US" altLang="ja-JP" sz="1100"/>
            <a:t>…</a:t>
          </a:r>
          <a:endParaRPr kumimoji="1" lang="ja-JP" altLang="en-US" sz="1100"/>
        </a:p>
      </xdr:txBody>
    </xdr:sp>
    <xdr:clientData/>
  </xdr:twoCellAnchor>
  <xdr:twoCellAnchor>
    <xdr:from>
      <xdr:col>12</xdr:col>
      <xdr:colOff>442275</xdr:colOff>
      <xdr:row>151</xdr:row>
      <xdr:rowOff>157115</xdr:rowOff>
    </xdr:from>
    <xdr:to>
      <xdr:col>14</xdr:col>
      <xdr:colOff>265130</xdr:colOff>
      <xdr:row>154</xdr:row>
      <xdr:rowOff>162220</xdr:rowOff>
    </xdr:to>
    <xdr:sp macro="" textlink="">
      <xdr:nvSpPr>
        <xdr:cNvPr id="86" name="角丸四角形吹き出し 85"/>
        <xdr:cNvSpPr/>
      </xdr:nvSpPr>
      <xdr:spPr>
        <a:xfrm>
          <a:off x="8572894" y="25363996"/>
          <a:ext cx="1177958" cy="505904"/>
        </a:xfrm>
        <a:prstGeom prst="wedgeRoundRectCallout">
          <a:avLst>
            <a:gd name="adj1" fmla="val -37526"/>
            <a:gd name="adj2" fmla="val 831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戻りにビビって撤退。。</a:t>
          </a:r>
        </a:p>
      </xdr:txBody>
    </xdr:sp>
    <xdr:clientData/>
  </xdr:twoCellAnchor>
  <xdr:twoCellAnchor>
    <xdr:from>
      <xdr:col>0</xdr:col>
      <xdr:colOff>94269</xdr:colOff>
      <xdr:row>155</xdr:row>
      <xdr:rowOff>153184</xdr:rowOff>
    </xdr:from>
    <xdr:to>
      <xdr:col>3</xdr:col>
      <xdr:colOff>225850</xdr:colOff>
      <xdr:row>160</xdr:row>
      <xdr:rowOff>117835</xdr:rowOff>
    </xdr:to>
    <xdr:sp macro="" textlink="">
      <xdr:nvSpPr>
        <xdr:cNvPr id="87" name="テキスト ボックス 86"/>
        <xdr:cNvSpPr txBox="1"/>
      </xdr:nvSpPr>
      <xdr:spPr>
        <a:xfrm>
          <a:off x="94269" y="26027797"/>
          <a:ext cx="2164236" cy="7993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自分の検証で</a:t>
          </a:r>
          <a:r>
            <a:rPr kumimoji="1" lang="en-US" altLang="ja-JP" sz="1100"/>
            <a:t>-61.8</a:t>
          </a:r>
          <a:r>
            <a:rPr kumimoji="1" lang="ja-JP" altLang="en-US" sz="1100"/>
            <a:t>で反転する確率の高さを分かっていながら、欲が出て持ち越してしまい、次の戻りでビビって建値決済</a:t>
          </a:r>
          <a:r>
            <a:rPr kumimoji="1" lang="en-US" altLang="ja-JP" sz="1100"/>
            <a:t>×</a:t>
          </a:r>
        </a:p>
      </xdr:txBody>
    </xdr:sp>
    <xdr:clientData/>
  </xdr:twoCellAnchor>
  <xdr:twoCellAnchor>
    <xdr:from>
      <xdr:col>0</xdr:col>
      <xdr:colOff>99375</xdr:colOff>
      <xdr:row>161</xdr:row>
      <xdr:rowOff>50275</xdr:rowOff>
    </xdr:from>
    <xdr:to>
      <xdr:col>3</xdr:col>
      <xdr:colOff>230956</xdr:colOff>
      <xdr:row>166</xdr:row>
      <xdr:rowOff>14926</xdr:rowOff>
    </xdr:to>
    <xdr:sp macro="" textlink="">
      <xdr:nvSpPr>
        <xdr:cNvPr id="88" name="テキスト ボックス 87"/>
        <xdr:cNvSpPr txBox="1"/>
      </xdr:nvSpPr>
      <xdr:spPr>
        <a:xfrm>
          <a:off x="99375" y="26926486"/>
          <a:ext cx="2164236" cy="7993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たとえｰ</a:t>
          </a:r>
          <a:r>
            <a:rPr kumimoji="1" lang="en-US" altLang="ja-JP" sz="1100"/>
            <a:t>61.8</a:t>
          </a:r>
          <a:r>
            <a:rPr kumimoji="1" lang="ja-JP" altLang="en-US" sz="1100"/>
            <a:t>以上伸ばせるとしても、検証で自信があるパターンでなければ待てない</a:t>
          </a:r>
          <a:r>
            <a:rPr kumimoji="1" lang="en-US" altLang="ja-JP" sz="1100"/>
            <a:t>×</a:t>
          </a:r>
        </a:p>
        <a:p>
          <a:r>
            <a:rPr kumimoji="1" lang="ja-JP" altLang="en-US" sz="1100"/>
            <a:t>⇒今はｰ</a:t>
          </a:r>
          <a:r>
            <a:rPr kumimoji="1" lang="en-US" altLang="ja-JP" sz="1100"/>
            <a:t>61.8</a:t>
          </a:r>
          <a:r>
            <a:rPr kumimoji="1" lang="ja-JP" altLang="en-US" sz="1100"/>
            <a:t>決済を徹底する！！</a:t>
          </a:r>
          <a:endParaRPr kumimoji="1" lang="en-US" altLang="ja-JP" sz="1100"/>
        </a:p>
      </xdr:txBody>
    </xdr:sp>
    <xdr:clientData/>
  </xdr:twoCellAnchor>
  <xdr:twoCellAnchor>
    <xdr:from>
      <xdr:col>13</xdr:col>
      <xdr:colOff>388462</xdr:colOff>
      <xdr:row>211</xdr:row>
      <xdr:rowOff>152791</xdr:rowOff>
    </xdr:from>
    <xdr:to>
      <xdr:col>15</xdr:col>
      <xdr:colOff>147294</xdr:colOff>
      <xdr:row>215</xdr:row>
      <xdr:rowOff>39278</xdr:rowOff>
    </xdr:to>
    <xdr:sp macro="" textlink="">
      <xdr:nvSpPr>
        <xdr:cNvPr id="90" name="角丸四角形吹き出し 89"/>
        <xdr:cNvSpPr/>
      </xdr:nvSpPr>
      <xdr:spPr>
        <a:xfrm>
          <a:off x="9196632" y="30367662"/>
          <a:ext cx="1113935" cy="554219"/>
        </a:xfrm>
        <a:prstGeom prst="wedgeRoundRectCallout">
          <a:avLst>
            <a:gd name="adj1" fmla="val -63024"/>
            <a:gd name="adj2" fmla="val -7469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スプレッド拡大で損切られた後</a:t>
          </a:r>
        </a:p>
      </xdr:txBody>
    </xdr:sp>
    <xdr:clientData/>
  </xdr:twoCellAnchor>
  <xdr:twoCellAnchor>
    <xdr:from>
      <xdr:col>10</xdr:col>
      <xdr:colOff>584854</xdr:colOff>
      <xdr:row>215</xdr:row>
      <xdr:rowOff>142972</xdr:rowOff>
    </xdr:from>
    <xdr:to>
      <xdr:col>12</xdr:col>
      <xdr:colOff>44775</xdr:colOff>
      <xdr:row>218</xdr:row>
      <xdr:rowOff>152792</xdr:rowOff>
    </xdr:to>
    <xdr:sp macro="" textlink="">
      <xdr:nvSpPr>
        <xdr:cNvPr id="91" name="角丸四角形吹き出し 90"/>
        <xdr:cNvSpPr/>
      </xdr:nvSpPr>
      <xdr:spPr>
        <a:xfrm>
          <a:off x="7360369" y="31025575"/>
          <a:ext cx="815025" cy="510619"/>
        </a:xfrm>
        <a:prstGeom prst="wedgeRoundRectCallout">
          <a:avLst>
            <a:gd name="adj1" fmla="val 44352"/>
            <a:gd name="adj2" fmla="val -9109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ここで売り</a:t>
          </a:r>
          <a:r>
            <a:rPr kumimoji="1" lang="en-US" altLang="ja-JP" sz="1100"/>
            <a:t>IN</a:t>
          </a:r>
          <a:endParaRPr kumimoji="1" lang="ja-JP" altLang="en-US" sz="1100"/>
        </a:p>
      </xdr:txBody>
    </xdr:sp>
    <xdr:clientData/>
  </xdr:twoCellAnchor>
  <xdr:twoCellAnchor>
    <xdr:from>
      <xdr:col>0</xdr:col>
      <xdr:colOff>94662</xdr:colOff>
      <xdr:row>211</xdr:row>
      <xdr:rowOff>143758</xdr:rowOff>
    </xdr:from>
    <xdr:to>
      <xdr:col>2</xdr:col>
      <xdr:colOff>432062</xdr:colOff>
      <xdr:row>220</xdr:row>
      <xdr:rowOff>39279</xdr:rowOff>
    </xdr:to>
    <xdr:sp macro="" textlink="">
      <xdr:nvSpPr>
        <xdr:cNvPr id="92" name="テキスト ボックス 91"/>
        <xdr:cNvSpPr txBox="1"/>
      </xdr:nvSpPr>
      <xdr:spPr>
        <a:xfrm>
          <a:off x="94662" y="30358629"/>
          <a:ext cx="1692503" cy="1397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足ｗトップのネックラインブレイクで売り</a:t>
          </a:r>
          <a:r>
            <a:rPr kumimoji="1" lang="en-US" altLang="ja-JP" sz="1100"/>
            <a:t>IN</a:t>
          </a:r>
          <a:r>
            <a:rPr kumimoji="1" lang="ja-JP" altLang="en-US" sz="1100"/>
            <a:t>。</a:t>
          </a:r>
          <a:endParaRPr kumimoji="1" lang="en-US" altLang="ja-JP" sz="1100"/>
        </a:p>
        <a:p>
          <a:r>
            <a:rPr kumimoji="1" lang="en-US" altLang="ja-JP" sz="1100"/>
            <a:t>L/S</a:t>
          </a:r>
          <a:r>
            <a:rPr kumimoji="1" lang="ja-JP" altLang="en-US" sz="1100"/>
            <a:t>ポイント手前でうろついた後急落したが、急落初期にスプレッドが大きく開いたみたいで損切られた</a:t>
          </a:r>
          <a:r>
            <a:rPr kumimoji="1" lang="en-US" altLang="ja-JP" sz="1100"/>
            <a:t>×</a:t>
          </a:r>
        </a:p>
      </xdr:txBody>
    </xdr:sp>
    <xdr:clientData/>
  </xdr:twoCellAnchor>
  <xdr:twoCellAnchor editAs="oneCell">
    <xdr:from>
      <xdr:col>0</xdr:col>
      <xdr:colOff>0</xdr:colOff>
      <xdr:row>178</xdr:row>
      <xdr:rowOff>49098</xdr:rowOff>
    </xdr:from>
    <xdr:to>
      <xdr:col>18</xdr:col>
      <xdr:colOff>181564</xdr:colOff>
      <xdr:row>207</xdr:row>
      <xdr:rowOff>0</xdr:rowOff>
    </xdr:to>
    <xdr:pic>
      <xdr:nvPicPr>
        <xdr:cNvPr id="10242" name="Picture 2"/>
        <xdr:cNvPicPr>
          <a:picLocks noChangeAspect="1" noChangeArrowheads="1"/>
        </xdr:cNvPicPr>
      </xdr:nvPicPr>
      <xdr:blipFill>
        <a:blip xmlns:r="http://schemas.openxmlformats.org/officeDocument/2006/relationships" r:embed="rId8"/>
        <a:srcRect l="5047" t="19706" b="13042"/>
        <a:stretch>
          <a:fillRect/>
        </a:stretch>
      </xdr:blipFill>
      <xdr:spPr bwMode="auto">
        <a:xfrm>
          <a:off x="0" y="29763170"/>
          <a:ext cx="12377492" cy="4791959"/>
        </a:xfrm>
        <a:prstGeom prst="rect">
          <a:avLst/>
        </a:prstGeom>
        <a:noFill/>
        <a:ln w="1">
          <a:noFill/>
          <a:miter lim="800000"/>
          <a:headEnd/>
          <a:tailEnd type="none" w="med" len="med"/>
        </a:ln>
        <a:effectLst/>
      </xdr:spPr>
    </xdr:pic>
    <xdr:clientData/>
  </xdr:twoCellAnchor>
  <xdr:twoCellAnchor>
    <xdr:from>
      <xdr:col>7</xdr:col>
      <xdr:colOff>392783</xdr:colOff>
      <xdr:row>184</xdr:row>
      <xdr:rowOff>69130</xdr:rowOff>
    </xdr:from>
    <xdr:to>
      <xdr:col>9</xdr:col>
      <xdr:colOff>491371</xdr:colOff>
      <xdr:row>188</xdr:row>
      <xdr:rowOff>157113</xdr:rowOff>
    </xdr:to>
    <xdr:sp macro="" textlink="">
      <xdr:nvSpPr>
        <xdr:cNvPr id="93" name="角丸四角形吹き出し 92"/>
        <xdr:cNvSpPr/>
      </xdr:nvSpPr>
      <xdr:spPr>
        <a:xfrm>
          <a:off x="5135644" y="30784800"/>
          <a:ext cx="1453691" cy="755715"/>
        </a:xfrm>
        <a:prstGeom prst="wedgeRoundRectCallout">
          <a:avLst>
            <a:gd name="adj1" fmla="val 53169"/>
            <a:gd name="adj2" fmla="val -6983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ここでほんの少し（</a:t>
          </a:r>
          <a:r>
            <a:rPr kumimoji="1" lang="en-US" altLang="ja-JP" sz="1100"/>
            <a:t>0.7pip</a:t>
          </a:r>
          <a:r>
            <a:rPr kumimoji="1" lang="ja-JP" altLang="en-US" sz="1100"/>
            <a:t>）下抜けたが、見てなくてスルー</a:t>
          </a:r>
        </a:p>
      </xdr:txBody>
    </xdr:sp>
    <xdr:clientData/>
  </xdr:twoCellAnchor>
  <xdr:twoCellAnchor>
    <xdr:from>
      <xdr:col>10</xdr:col>
      <xdr:colOff>24747</xdr:colOff>
      <xdr:row>188</xdr:row>
      <xdr:rowOff>19639</xdr:rowOff>
    </xdr:from>
    <xdr:to>
      <xdr:col>11</xdr:col>
      <xdr:colOff>520439</xdr:colOff>
      <xdr:row>190</xdr:row>
      <xdr:rowOff>58919</xdr:rowOff>
    </xdr:to>
    <xdr:sp macro="" textlink="">
      <xdr:nvSpPr>
        <xdr:cNvPr id="94" name="角丸四角形吹き出し 93"/>
        <xdr:cNvSpPr/>
      </xdr:nvSpPr>
      <xdr:spPr>
        <a:xfrm>
          <a:off x="6800262" y="31403041"/>
          <a:ext cx="1173244" cy="373146"/>
        </a:xfrm>
        <a:prstGeom prst="wedgeRoundRectCallout">
          <a:avLst>
            <a:gd name="adj1" fmla="val 22625"/>
            <a:gd name="adj2" fmla="val -13486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ターゲット到達</a:t>
          </a:r>
        </a:p>
      </xdr:txBody>
    </xdr:sp>
    <xdr:clientData/>
  </xdr:twoCellAnchor>
  <xdr:twoCellAnchor>
    <xdr:from>
      <xdr:col>0</xdr:col>
      <xdr:colOff>84451</xdr:colOff>
      <xdr:row>179</xdr:row>
      <xdr:rowOff>94269</xdr:rowOff>
    </xdr:from>
    <xdr:to>
      <xdr:col>1</xdr:col>
      <xdr:colOff>69525</xdr:colOff>
      <xdr:row>181</xdr:row>
      <xdr:rowOff>25532</xdr:rowOff>
    </xdr:to>
    <xdr:sp macro="" textlink="">
      <xdr:nvSpPr>
        <xdr:cNvPr id="95" name="テキスト ボックス 94"/>
        <xdr:cNvSpPr txBox="1"/>
      </xdr:nvSpPr>
      <xdr:spPr>
        <a:xfrm>
          <a:off x="84451" y="29975274"/>
          <a:ext cx="662626"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No.89</a:t>
          </a:r>
          <a:endParaRPr kumimoji="1" lang="ja-JP" altLang="en-US" sz="1100"/>
        </a:p>
      </xdr:txBody>
    </xdr:sp>
    <xdr:clientData/>
  </xdr:twoCellAnchor>
  <xdr:twoCellAnchor>
    <xdr:from>
      <xdr:col>0</xdr:col>
      <xdr:colOff>84450</xdr:colOff>
      <xdr:row>181</xdr:row>
      <xdr:rowOff>123725</xdr:rowOff>
    </xdr:from>
    <xdr:to>
      <xdr:col>2</xdr:col>
      <xdr:colOff>196392</xdr:colOff>
      <xdr:row>192</xdr:row>
      <xdr:rowOff>9820</xdr:rowOff>
    </xdr:to>
    <xdr:sp macro="" textlink="">
      <xdr:nvSpPr>
        <xdr:cNvPr id="96" name="テキスト ボックス 95"/>
        <xdr:cNvSpPr txBox="1"/>
      </xdr:nvSpPr>
      <xdr:spPr>
        <a:xfrm>
          <a:off x="84450" y="30338596"/>
          <a:ext cx="1467045" cy="17223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足ｗトップのネックラインブレイクの瞬間を見逃した為、戻りからの下落を狙ってみた。</a:t>
          </a:r>
          <a:endParaRPr kumimoji="1" lang="en-US" altLang="ja-JP" sz="1100"/>
        </a:p>
        <a:p>
          <a:r>
            <a:rPr kumimoji="1" lang="ja-JP" altLang="en-US" sz="1100"/>
            <a:t>今回は狙い通り下げてターゲットまで到達。</a:t>
          </a:r>
          <a:endParaRPr kumimoji="1" lang="en-US" altLang="ja-JP" sz="1100"/>
        </a:p>
        <a:p>
          <a:r>
            <a:rPr kumimoji="1" lang="ja-JP" altLang="en-US" sz="1100"/>
            <a:t>リスクリワードの良いトレードができた♪</a:t>
          </a:r>
          <a:endParaRPr kumimoji="1" lang="en-US" altLang="ja-JP" sz="1100"/>
        </a:p>
      </xdr:txBody>
    </xdr:sp>
    <xdr:clientData/>
  </xdr:twoCellAnchor>
  <xdr:twoCellAnchor>
    <xdr:from>
      <xdr:col>10</xdr:col>
      <xdr:colOff>319333</xdr:colOff>
      <xdr:row>178</xdr:row>
      <xdr:rowOff>68737</xdr:rowOff>
    </xdr:from>
    <xdr:to>
      <xdr:col>12</xdr:col>
      <xdr:colOff>417920</xdr:colOff>
      <xdr:row>181</xdr:row>
      <xdr:rowOff>162218</xdr:rowOff>
    </xdr:to>
    <xdr:sp macro="" textlink="">
      <xdr:nvSpPr>
        <xdr:cNvPr id="97" name="角丸四角形吹き出し 96"/>
        <xdr:cNvSpPr/>
      </xdr:nvSpPr>
      <xdr:spPr>
        <a:xfrm>
          <a:off x="7094848" y="29782809"/>
          <a:ext cx="1453691" cy="594280"/>
        </a:xfrm>
        <a:prstGeom prst="wedgeRoundRectCallout">
          <a:avLst>
            <a:gd name="adj1" fmla="val -65044"/>
            <a:gd name="adj2" fmla="val 5490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38.2</a:t>
          </a:r>
          <a:r>
            <a:rPr kumimoji="1" lang="ja-JP" altLang="en-US" sz="1100"/>
            <a:t>まで戻った後の十字下抜きで</a:t>
          </a:r>
          <a:r>
            <a:rPr kumimoji="1" lang="en-US" altLang="ja-JP" sz="1100"/>
            <a:t>IN</a:t>
          </a:r>
          <a:endParaRPr kumimoji="1" lang="ja-JP" altLang="en-US" sz="1100"/>
        </a:p>
      </xdr:txBody>
    </xdr:sp>
    <xdr:clientData/>
  </xdr:twoCellAnchor>
  <xdr:twoCellAnchor>
    <xdr:from>
      <xdr:col>10</xdr:col>
      <xdr:colOff>29459</xdr:colOff>
      <xdr:row>182</xdr:row>
      <xdr:rowOff>88377</xdr:rowOff>
    </xdr:from>
    <xdr:to>
      <xdr:col>10</xdr:col>
      <xdr:colOff>451701</xdr:colOff>
      <xdr:row>182</xdr:row>
      <xdr:rowOff>88378</xdr:rowOff>
    </xdr:to>
    <xdr:cxnSp macro="">
      <xdr:nvCxnSpPr>
        <xdr:cNvPr id="99" name="直線コネクタ 98"/>
        <xdr:cNvCxnSpPr/>
      </xdr:nvCxnSpPr>
      <xdr:spPr>
        <a:xfrm flipV="1">
          <a:off x="6804974" y="30470181"/>
          <a:ext cx="422242" cy="1"/>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238</xdr:row>
      <xdr:rowOff>29458</xdr:rowOff>
    </xdr:from>
    <xdr:to>
      <xdr:col>18</xdr:col>
      <xdr:colOff>191383</xdr:colOff>
      <xdr:row>266</xdr:row>
      <xdr:rowOff>137475</xdr:rowOff>
    </xdr:to>
    <xdr:pic>
      <xdr:nvPicPr>
        <xdr:cNvPr id="46" name="Picture 1"/>
        <xdr:cNvPicPr>
          <a:picLocks noChangeAspect="1" noChangeArrowheads="1"/>
        </xdr:cNvPicPr>
      </xdr:nvPicPr>
      <xdr:blipFill>
        <a:blip xmlns:r="http://schemas.openxmlformats.org/officeDocument/2006/relationships" r:embed="rId9"/>
        <a:srcRect l="4972" t="19845" b="13042"/>
        <a:stretch>
          <a:fillRect/>
        </a:stretch>
      </xdr:blipFill>
      <xdr:spPr bwMode="auto">
        <a:xfrm>
          <a:off x="0" y="39759510"/>
          <a:ext cx="12387311" cy="4782140"/>
        </a:xfrm>
        <a:prstGeom prst="rect">
          <a:avLst/>
        </a:prstGeom>
        <a:noFill/>
        <a:ln w="1">
          <a:noFill/>
          <a:miter lim="800000"/>
          <a:headEnd/>
          <a:tailEnd type="none" w="med" len="med"/>
        </a:ln>
        <a:effectLst/>
      </xdr:spPr>
    </xdr:pic>
    <xdr:clientData/>
  </xdr:twoCellAnchor>
  <xdr:twoCellAnchor>
    <xdr:from>
      <xdr:col>13</xdr:col>
      <xdr:colOff>629240</xdr:colOff>
      <xdr:row>252</xdr:row>
      <xdr:rowOff>142972</xdr:rowOff>
    </xdr:from>
    <xdr:to>
      <xdr:col>15</xdr:col>
      <xdr:colOff>137474</xdr:colOff>
      <xdr:row>254</xdr:row>
      <xdr:rowOff>68737</xdr:rowOff>
    </xdr:to>
    <xdr:sp macro="" textlink="">
      <xdr:nvSpPr>
        <xdr:cNvPr id="98" name="角丸四角形吹き出し 97"/>
        <xdr:cNvSpPr/>
      </xdr:nvSpPr>
      <xdr:spPr>
        <a:xfrm>
          <a:off x="9437410" y="42210085"/>
          <a:ext cx="863337" cy="259631"/>
        </a:xfrm>
        <a:prstGeom prst="wedgeRoundRectCallout">
          <a:avLst>
            <a:gd name="adj1" fmla="val -94738"/>
            <a:gd name="adj2" fmla="val 205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94270</xdr:colOff>
      <xdr:row>239</xdr:row>
      <xdr:rowOff>89161</xdr:rowOff>
    </xdr:from>
    <xdr:to>
      <xdr:col>1</xdr:col>
      <xdr:colOff>79344</xdr:colOff>
      <xdr:row>241</xdr:row>
      <xdr:rowOff>20424</xdr:rowOff>
    </xdr:to>
    <xdr:sp macro="" textlink="">
      <xdr:nvSpPr>
        <xdr:cNvPr id="100" name="テキスト ボックス 99"/>
        <xdr:cNvSpPr txBox="1"/>
      </xdr:nvSpPr>
      <xdr:spPr>
        <a:xfrm>
          <a:off x="94270" y="39986146"/>
          <a:ext cx="662626"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No.91</a:t>
          </a:r>
        </a:p>
      </xdr:txBody>
    </xdr:sp>
    <xdr:clientData/>
  </xdr:twoCellAnchor>
  <xdr:twoCellAnchor>
    <xdr:from>
      <xdr:col>11</xdr:col>
      <xdr:colOff>604492</xdr:colOff>
      <xdr:row>248</xdr:row>
      <xdr:rowOff>128046</xdr:rowOff>
    </xdr:from>
    <xdr:to>
      <xdr:col>13</xdr:col>
      <xdr:colOff>64414</xdr:colOff>
      <xdr:row>251</xdr:row>
      <xdr:rowOff>137866</xdr:rowOff>
    </xdr:to>
    <xdr:sp macro="" textlink="">
      <xdr:nvSpPr>
        <xdr:cNvPr id="101" name="角丸四角形吹き出し 100"/>
        <xdr:cNvSpPr/>
      </xdr:nvSpPr>
      <xdr:spPr>
        <a:xfrm>
          <a:off x="8057559" y="41527427"/>
          <a:ext cx="815025" cy="510619"/>
        </a:xfrm>
        <a:prstGeom prst="wedgeRoundRectCallout">
          <a:avLst>
            <a:gd name="adj1" fmla="val 49171"/>
            <a:gd name="adj2" fmla="val 839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endParaRPr kumimoji="1" lang="en-US" altLang="ja-JP" sz="1100"/>
        </a:p>
        <a:p>
          <a:pPr algn="ctr"/>
          <a:r>
            <a:rPr kumimoji="1" lang="ja-JP" altLang="en-US" sz="1100"/>
            <a:t>買い</a:t>
          </a:r>
          <a:r>
            <a:rPr kumimoji="1" lang="en-US" altLang="ja-JP" sz="1100"/>
            <a:t>IN</a:t>
          </a:r>
          <a:endParaRPr kumimoji="1" lang="ja-JP" altLang="en-US" sz="1100"/>
        </a:p>
      </xdr:txBody>
    </xdr:sp>
    <xdr:clientData/>
  </xdr:twoCellAnchor>
  <xdr:twoCellAnchor>
    <xdr:from>
      <xdr:col>0</xdr:col>
      <xdr:colOff>104481</xdr:colOff>
      <xdr:row>241</xdr:row>
      <xdr:rowOff>128831</xdr:rowOff>
    </xdr:from>
    <xdr:to>
      <xdr:col>2</xdr:col>
      <xdr:colOff>441881</xdr:colOff>
      <xdr:row>244</xdr:row>
      <xdr:rowOff>88377</xdr:rowOff>
    </xdr:to>
    <xdr:sp macro="" textlink="">
      <xdr:nvSpPr>
        <xdr:cNvPr id="102" name="テキスト ボックス 101"/>
        <xdr:cNvSpPr txBox="1"/>
      </xdr:nvSpPr>
      <xdr:spPr>
        <a:xfrm>
          <a:off x="104481" y="40359682"/>
          <a:ext cx="1692503" cy="46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足ｗボトムのネックラインブレイクで買い</a:t>
          </a:r>
          <a:r>
            <a:rPr kumimoji="1" lang="en-US" altLang="ja-JP" sz="1100"/>
            <a:t>IN</a:t>
          </a:r>
          <a:r>
            <a:rPr kumimoji="1" lang="ja-JP" altLang="en-US" sz="1100"/>
            <a:t>。</a:t>
          </a:r>
          <a:endParaRPr kumimoji="1" lang="en-US" altLang="ja-JP" sz="1100"/>
        </a:p>
        <a:p>
          <a:endParaRPr kumimoji="1" lang="en-US" altLang="ja-JP" sz="1100"/>
        </a:p>
      </xdr:txBody>
    </xdr:sp>
    <xdr:clientData/>
  </xdr:twoCellAnchor>
  <xdr:twoCellAnchor>
    <xdr:from>
      <xdr:col>0</xdr:col>
      <xdr:colOff>119407</xdr:colOff>
      <xdr:row>245</xdr:row>
      <xdr:rowOff>55382</xdr:rowOff>
    </xdr:from>
    <xdr:to>
      <xdr:col>2</xdr:col>
      <xdr:colOff>456807</xdr:colOff>
      <xdr:row>249</xdr:row>
      <xdr:rowOff>0</xdr:rowOff>
    </xdr:to>
    <xdr:sp macro="" textlink="">
      <xdr:nvSpPr>
        <xdr:cNvPr id="103" name="テキスト ボックス 102"/>
        <xdr:cNvSpPr txBox="1"/>
      </xdr:nvSpPr>
      <xdr:spPr>
        <a:xfrm>
          <a:off x="119407" y="40953964"/>
          <a:ext cx="1692503" cy="612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a:t>
          </a:r>
          <a:r>
            <a:rPr kumimoji="1" lang="ja-JP" altLang="en-US" sz="1100"/>
            <a:t>のつもりだったが、手前でトレンドが一度反転している</a:t>
          </a:r>
          <a:r>
            <a:rPr kumimoji="1" lang="en-US" altLang="ja-JP" sz="1100"/>
            <a:t>×</a:t>
          </a:r>
        </a:p>
        <a:p>
          <a:endParaRPr kumimoji="1" lang="en-US" altLang="ja-JP" sz="1100"/>
        </a:p>
      </xdr:txBody>
    </xdr:sp>
    <xdr:clientData/>
  </xdr:twoCellAnchor>
  <xdr:twoCellAnchor>
    <xdr:from>
      <xdr:col>0</xdr:col>
      <xdr:colOff>467409</xdr:colOff>
      <xdr:row>250</xdr:row>
      <xdr:rowOff>49883</xdr:rowOff>
    </xdr:from>
    <xdr:to>
      <xdr:col>3</xdr:col>
      <xdr:colOff>73841</xdr:colOff>
      <xdr:row>253</xdr:row>
      <xdr:rowOff>29459</xdr:rowOff>
    </xdr:to>
    <xdr:sp macro="" textlink="">
      <xdr:nvSpPr>
        <xdr:cNvPr id="106" name="角丸四角形吹き出し 105"/>
        <xdr:cNvSpPr/>
      </xdr:nvSpPr>
      <xdr:spPr>
        <a:xfrm>
          <a:off x="467409" y="41783130"/>
          <a:ext cx="1639087" cy="480375"/>
        </a:xfrm>
        <a:prstGeom prst="wedgeRoundRectCallout">
          <a:avLst>
            <a:gd name="adj1" fmla="val -30534"/>
            <a:gd name="adj2" fmla="val -10455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いつもよりルールを緩めてしまったのが敗因</a:t>
          </a:r>
        </a:p>
      </xdr:txBody>
    </xdr:sp>
    <xdr:clientData/>
  </xdr:twoCellAnchor>
  <xdr:twoCellAnchor>
    <xdr:from>
      <xdr:col>3</xdr:col>
      <xdr:colOff>393567</xdr:colOff>
      <xdr:row>252</xdr:row>
      <xdr:rowOff>98197</xdr:rowOff>
    </xdr:from>
    <xdr:to>
      <xdr:col>6</xdr:col>
      <xdr:colOff>0</xdr:colOff>
      <xdr:row>257</xdr:row>
      <xdr:rowOff>78560</xdr:rowOff>
    </xdr:to>
    <xdr:sp macro="" textlink="">
      <xdr:nvSpPr>
        <xdr:cNvPr id="105" name="角丸四角形吹き出し 104"/>
        <xdr:cNvSpPr/>
      </xdr:nvSpPr>
      <xdr:spPr>
        <a:xfrm>
          <a:off x="2426222" y="42165310"/>
          <a:ext cx="1639087" cy="815028"/>
        </a:xfrm>
        <a:prstGeom prst="wedgeRoundRectCallout">
          <a:avLst>
            <a:gd name="adj1" fmla="val -71871"/>
            <a:gd name="adj2" fmla="val -5101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長時間条件が出なければ焦ってルールを緩めてしまう短所アリ！要注意！！</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29459</xdr:colOff>
      <xdr:row>211</xdr:row>
      <xdr:rowOff>29459</xdr:rowOff>
    </xdr:from>
    <xdr:to>
      <xdr:col>18</xdr:col>
      <xdr:colOff>230662</xdr:colOff>
      <xdr:row>240</xdr:row>
      <xdr:rowOff>19639</xdr:rowOff>
    </xdr:to>
    <xdr:pic>
      <xdr:nvPicPr>
        <xdr:cNvPr id="11273" name="Picture 9"/>
        <xdr:cNvPicPr>
          <a:picLocks noChangeAspect="1" noChangeArrowheads="1"/>
        </xdr:cNvPicPr>
      </xdr:nvPicPr>
      <xdr:blipFill>
        <a:blip xmlns:r="http://schemas.openxmlformats.org/officeDocument/2006/relationships" r:embed="rId1"/>
        <a:srcRect l="4896" t="19569" b="12629"/>
        <a:stretch>
          <a:fillRect/>
        </a:stretch>
      </xdr:blipFill>
      <xdr:spPr bwMode="auto">
        <a:xfrm>
          <a:off x="29459" y="35252320"/>
          <a:ext cx="12397131" cy="4831237"/>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181564</xdr:colOff>
      <xdr:row>29</xdr:row>
      <xdr:rowOff>49097</xdr:rowOff>
    </xdr:to>
    <xdr:pic>
      <xdr:nvPicPr>
        <xdr:cNvPr id="11265" name="Picture 1"/>
        <xdr:cNvPicPr>
          <a:picLocks noChangeAspect="1" noChangeArrowheads="1"/>
        </xdr:cNvPicPr>
      </xdr:nvPicPr>
      <xdr:blipFill>
        <a:blip xmlns:r="http://schemas.openxmlformats.org/officeDocument/2006/relationships" r:embed="rId2"/>
        <a:srcRect l="5047" t="20258" b="14972"/>
        <a:stretch>
          <a:fillRect/>
        </a:stretch>
      </xdr:blipFill>
      <xdr:spPr bwMode="auto">
        <a:xfrm>
          <a:off x="0" y="0"/>
          <a:ext cx="12377492" cy="4890154"/>
        </a:xfrm>
        <a:prstGeom prst="rect">
          <a:avLst/>
        </a:prstGeom>
        <a:noFill/>
        <a:ln w="1">
          <a:noFill/>
          <a:miter lim="800000"/>
          <a:headEnd/>
          <a:tailEnd type="none" w="med" len="med"/>
        </a:ln>
        <a:effectLst/>
      </xdr:spPr>
    </xdr:pic>
    <xdr:clientData/>
  </xdr:twoCellAnchor>
  <xdr:twoCellAnchor>
    <xdr:from>
      <xdr:col>0</xdr:col>
      <xdr:colOff>68738</xdr:colOff>
      <xdr:row>1</xdr:row>
      <xdr:rowOff>9820</xdr:rowOff>
    </xdr:from>
    <xdr:to>
      <xdr:col>0</xdr:col>
      <xdr:colOff>618635</xdr:colOff>
      <xdr:row>2</xdr:row>
      <xdr:rowOff>108016</xdr:rowOff>
    </xdr:to>
    <xdr:sp macro="" textlink="">
      <xdr:nvSpPr>
        <xdr:cNvPr id="37" name="テキスト ボックス 36"/>
        <xdr:cNvSpPr txBox="1"/>
      </xdr:nvSpPr>
      <xdr:spPr>
        <a:xfrm>
          <a:off x="68738" y="176753"/>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No.67</a:t>
          </a:r>
          <a:endParaRPr kumimoji="1" lang="ja-JP" altLang="en-US" sz="1100"/>
        </a:p>
      </xdr:txBody>
    </xdr:sp>
    <xdr:clientData/>
  </xdr:twoCellAnchor>
  <xdr:twoCellAnchor>
    <xdr:from>
      <xdr:col>0</xdr:col>
      <xdr:colOff>68736</xdr:colOff>
      <xdr:row>3</xdr:row>
      <xdr:rowOff>29460</xdr:rowOff>
    </xdr:from>
    <xdr:to>
      <xdr:col>2</xdr:col>
      <xdr:colOff>19638</xdr:colOff>
      <xdr:row>8</xdr:row>
      <xdr:rowOff>39279</xdr:rowOff>
    </xdr:to>
    <xdr:sp macro="" textlink="">
      <xdr:nvSpPr>
        <xdr:cNvPr id="38" name="テキスト ボックス 37"/>
        <xdr:cNvSpPr txBox="1"/>
      </xdr:nvSpPr>
      <xdr:spPr>
        <a:xfrm>
          <a:off x="68736" y="530259"/>
          <a:ext cx="1306005" cy="8444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手前の上昇が少ないがｗトップのネックラインブレイクで売り</a:t>
          </a:r>
          <a:r>
            <a:rPr kumimoji="1" lang="en-US" altLang="ja-JP" sz="1100"/>
            <a:t>IN</a:t>
          </a:r>
          <a:endParaRPr kumimoji="1" lang="ja-JP" altLang="en-US" sz="1100"/>
        </a:p>
      </xdr:txBody>
    </xdr:sp>
    <xdr:clientData/>
  </xdr:twoCellAnchor>
  <xdr:twoCellAnchor>
    <xdr:from>
      <xdr:col>12</xdr:col>
      <xdr:colOff>500798</xdr:colOff>
      <xdr:row>7</xdr:row>
      <xdr:rowOff>78557</xdr:rowOff>
    </xdr:from>
    <xdr:to>
      <xdr:col>13</xdr:col>
      <xdr:colOff>324046</xdr:colOff>
      <xdr:row>9</xdr:row>
      <xdr:rowOff>9820</xdr:rowOff>
    </xdr:to>
    <xdr:sp macro="" textlink="">
      <xdr:nvSpPr>
        <xdr:cNvPr id="39" name="角丸四角形吹き出し 38"/>
        <xdr:cNvSpPr/>
      </xdr:nvSpPr>
      <xdr:spPr>
        <a:xfrm>
          <a:off x="8631417" y="1247088"/>
          <a:ext cx="500799" cy="265129"/>
        </a:xfrm>
        <a:prstGeom prst="wedgeRoundRectCallout">
          <a:avLst>
            <a:gd name="adj1" fmla="val 68225"/>
            <a:gd name="adj2" fmla="val -900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13</xdr:col>
      <xdr:colOff>230956</xdr:colOff>
      <xdr:row>10</xdr:row>
      <xdr:rowOff>152401</xdr:rowOff>
    </xdr:from>
    <xdr:to>
      <xdr:col>14</xdr:col>
      <xdr:colOff>54203</xdr:colOff>
      <xdr:row>12</xdr:row>
      <xdr:rowOff>83664</xdr:rowOff>
    </xdr:to>
    <xdr:sp macro="" textlink="">
      <xdr:nvSpPr>
        <xdr:cNvPr id="40" name="角丸四角形吹き出し 39"/>
        <xdr:cNvSpPr/>
      </xdr:nvSpPr>
      <xdr:spPr>
        <a:xfrm>
          <a:off x="9039126" y="1821731"/>
          <a:ext cx="500799" cy="265129"/>
        </a:xfrm>
        <a:prstGeom prst="wedgeRoundRectCallout">
          <a:avLst>
            <a:gd name="adj1" fmla="val 68225"/>
            <a:gd name="adj2" fmla="val -900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editAs="oneCell">
    <xdr:from>
      <xdr:col>0</xdr:col>
      <xdr:colOff>0</xdr:colOff>
      <xdr:row>30</xdr:row>
      <xdr:rowOff>117835</xdr:rowOff>
    </xdr:from>
    <xdr:to>
      <xdr:col>18</xdr:col>
      <xdr:colOff>171744</xdr:colOff>
      <xdr:row>59</xdr:row>
      <xdr:rowOff>68738</xdr:rowOff>
    </xdr:to>
    <xdr:pic>
      <xdr:nvPicPr>
        <xdr:cNvPr id="11266" name="Picture 2"/>
        <xdr:cNvPicPr>
          <a:picLocks noChangeAspect="1" noChangeArrowheads="1"/>
        </xdr:cNvPicPr>
      </xdr:nvPicPr>
      <xdr:blipFill>
        <a:blip xmlns:r="http://schemas.openxmlformats.org/officeDocument/2006/relationships" r:embed="rId3"/>
        <a:srcRect l="5122" t="20120" b="12629"/>
        <a:stretch>
          <a:fillRect/>
        </a:stretch>
      </xdr:blipFill>
      <xdr:spPr bwMode="auto">
        <a:xfrm>
          <a:off x="0" y="5125825"/>
          <a:ext cx="12367672" cy="4791959"/>
        </a:xfrm>
        <a:prstGeom prst="rect">
          <a:avLst/>
        </a:prstGeom>
        <a:noFill/>
        <a:ln w="1">
          <a:noFill/>
          <a:miter lim="800000"/>
          <a:headEnd/>
          <a:tailEnd type="none" w="med" len="med"/>
        </a:ln>
        <a:effectLst/>
      </xdr:spPr>
    </xdr:pic>
    <xdr:clientData/>
  </xdr:twoCellAnchor>
  <xdr:twoCellAnchor>
    <xdr:from>
      <xdr:col>0</xdr:col>
      <xdr:colOff>73844</xdr:colOff>
      <xdr:row>31</xdr:row>
      <xdr:rowOff>132761</xdr:rowOff>
    </xdr:from>
    <xdr:to>
      <xdr:col>0</xdr:col>
      <xdr:colOff>623741</xdr:colOff>
      <xdr:row>33</xdr:row>
      <xdr:rowOff>64024</xdr:rowOff>
    </xdr:to>
    <xdr:sp macro="" textlink="">
      <xdr:nvSpPr>
        <xdr:cNvPr id="42" name="テキスト ボックス 41"/>
        <xdr:cNvSpPr txBox="1"/>
      </xdr:nvSpPr>
      <xdr:spPr>
        <a:xfrm>
          <a:off x="73844" y="5307684"/>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No.73</a:t>
          </a:r>
          <a:endParaRPr kumimoji="1" lang="ja-JP" altLang="en-US" sz="1100"/>
        </a:p>
      </xdr:txBody>
    </xdr:sp>
    <xdr:clientData/>
  </xdr:twoCellAnchor>
  <xdr:twoCellAnchor>
    <xdr:from>
      <xdr:col>0</xdr:col>
      <xdr:colOff>73842</xdr:colOff>
      <xdr:row>33</xdr:row>
      <xdr:rowOff>152401</xdr:rowOff>
    </xdr:from>
    <xdr:to>
      <xdr:col>2</xdr:col>
      <xdr:colOff>24744</xdr:colOff>
      <xdr:row>37</xdr:row>
      <xdr:rowOff>108015</xdr:rowOff>
    </xdr:to>
    <xdr:sp macro="" textlink="">
      <xdr:nvSpPr>
        <xdr:cNvPr id="43" name="テキスト ボックス 42"/>
        <xdr:cNvSpPr txBox="1"/>
      </xdr:nvSpPr>
      <xdr:spPr>
        <a:xfrm>
          <a:off x="73842" y="5661190"/>
          <a:ext cx="1306005" cy="623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ｗトップのネックラインブレイクで売り</a:t>
          </a:r>
          <a:r>
            <a:rPr kumimoji="1" lang="en-US" altLang="ja-JP" sz="1100"/>
            <a:t>IN</a:t>
          </a:r>
          <a:endParaRPr kumimoji="1" lang="ja-JP" altLang="en-US" sz="1100"/>
        </a:p>
      </xdr:txBody>
    </xdr:sp>
    <xdr:clientData/>
  </xdr:twoCellAnchor>
  <xdr:twoCellAnchor>
    <xdr:from>
      <xdr:col>9</xdr:col>
      <xdr:colOff>397888</xdr:colOff>
      <xdr:row>36</xdr:row>
      <xdr:rowOff>34564</xdr:rowOff>
    </xdr:from>
    <xdr:to>
      <xdr:col>10</xdr:col>
      <xdr:colOff>221136</xdr:colOff>
      <xdr:row>37</xdr:row>
      <xdr:rowOff>132760</xdr:rowOff>
    </xdr:to>
    <xdr:sp macro="" textlink="">
      <xdr:nvSpPr>
        <xdr:cNvPr id="44" name="角丸四角形吹き出し 43"/>
        <xdr:cNvSpPr/>
      </xdr:nvSpPr>
      <xdr:spPr>
        <a:xfrm>
          <a:off x="6495852" y="6044152"/>
          <a:ext cx="500799" cy="265129"/>
        </a:xfrm>
        <a:prstGeom prst="wedgeRoundRectCallout">
          <a:avLst>
            <a:gd name="adj1" fmla="val 68225"/>
            <a:gd name="adj2" fmla="val -900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12</xdr:col>
      <xdr:colOff>20031</xdr:colOff>
      <xdr:row>38</xdr:row>
      <xdr:rowOff>59311</xdr:rowOff>
    </xdr:from>
    <xdr:to>
      <xdr:col>12</xdr:col>
      <xdr:colOff>520830</xdr:colOff>
      <xdr:row>39</xdr:row>
      <xdr:rowOff>157507</xdr:rowOff>
    </xdr:to>
    <xdr:sp macro="" textlink="">
      <xdr:nvSpPr>
        <xdr:cNvPr id="45" name="角丸四角形吹き出し 44"/>
        <xdr:cNvSpPr/>
      </xdr:nvSpPr>
      <xdr:spPr>
        <a:xfrm>
          <a:off x="8150650" y="6402765"/>
          <a:ext cx="500799" cy="265129"/>
        </a:xfrm>
        <a:prstGeom prst="wedgeRoundRectCallout">
          <a:avLst>
            <a:gd name="adj1" fmla="val 68225"/>
            <a:gd name="adj2" fmla="val -900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editAs="oneCell">
    <xdr:from>
      <xdr:col>0</xdr:col>
      <xdr:colOff>0</xdr:colOff>
      <xdr:row>60</xdr:row>
      <xdr:rowOff>108015</xdr:rowOff>
    </xdr:from>
    <xdr:to>
      <xdr:col>18</xdr:col>
      <xdr:colOff>161924</xdr:colOff>
      <xdr:row>89</xdr:row>
      <xdr:rowOff>58918</xdr:rowOff>
    </xdr:to>
    <xdr:pic>
      <xdr:nvPicPr>
        <xdr:cNvPr id="11267" name="Picture 3"/>
        <xdr:cNvPicPr>
          <a:picLocks noChangeAspect="1" noChangeArrowheads="1"/>
        </xdr:cNvPicPr>
      </xdr:nvPicPr>
      <xdr:blipFill>
        <a:blip xmlns:r="http://schemas.openxmlformats.org/officeDocument/2006/relationships" r:embed="rId4"/>
        <a:srcRect l="5198" t="19982" b="12767"/>
        <a:stretch>
          <a:fillRect/>
        </a:stretch>
      </xdr:blipFill>
      <xdr:spPr bwMode="auto">
        <a:xfrm>
          <a:off x="0" y="10123994"/>
          <a:ext cx="12357852" cy="4791960"/>
        </a:xfrm>
        <a:prstGeom prst="rect">
          <a:avLst/>
        </a:prstGeom>
        <a:noFill/>
        <a:ln w="1">
          <a:noFill/>
          <a:miter lim="800000"/>
          <a:headEnd/>
          <a:tailEnd type="none" w="med" len="med"/>
        </a:ln>
        <a:effectLst/>
      </xdr:spPr>
    </xdr:pic>
    <xdr:clientData/>
  </xdr:twoCellAnchor>
  <xdr:twoCellAnchor>
    <xdr:from>
      <xdr:col>0</xdr:col>
      <xdr:colOff>78950</xdr:colOff>
      <xdr:row>61</xdr:row>
      <xdr:rowOff>137868</xdr:rowOff>
    </xdr:from>
    <xdr:to>
      <xdr:col>0</xdr:col>
      <xdr:colOff>628847</xdr:colOff>
      <xdr:row>63</xdr:row>
      <xdr:rowOff>69131</xdr:rowOff>
    </xdr:to>
    <xdr:sp macro="" textlink="">
      <xdr:nvSpPr>
        <xdr:cNvPr id="47" name="テキスト ボックス 46"/>
        <xdr:cNvSpPr txBox="1"/>
      </xdr:nvSpPr>
      <xdr:spPr>
        <a:xfrm>
          <a:off x="78950" y="10320780"/>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No.74</a:t>
          </a:r>
          <a:endParaRPr kumimoji="1" lang="ja-JP" altLang="en-US" sz="1100"/>
        </a:p>
      </xdr:txBody>
    </xdr:sp>
    <xdr:clientData/>
  </xdr:twoCellAnchor>
  <xdr:twoCellAnchor>
    <xdr:from>
      <xdr:col>0</xdr:col>
      <xdr:colOff>78948</xdr:colOff>
      <xdr:row>63</xdr:row>
      <xdr:rowOff>157508</xdr:rowOff>
    </xdr:from>
    <xdr:to>
      <xdr:col>2</xdr:col>
      <xdr:colOff>29850</xdr:colOff>
      <xdr:row>67</xdr:row>
      <xdr:rowOff>113122</xdr:rowOff>
    </xdr:to>
    <xdr:sp macro="" textlink="">
      <xdr:nvSpPr>
        <xdr:cNvPr id="48" name="テキスト ボックス 47"/>
        <xdr:cNvSpPr txBox="1"/>
      </xdr:nvSpPr>
      <xdr:spPr>
        <a:xfrm>
          <a:off x="78948" y="10674286"/>
          <a:ext cx="1306005" cy="623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ｗボトムのネックラインブレイクで買い</a:t>
          </a:r>
          <a:r>
            <a:rPr kumimoji="1" lang="en-US" altLang="ja-JP" sz="1100"/>
            <a:t>IN</a:t>
          </a:r>
          <a:endParaRPr kumimoji="1" lang="ja-JP" altLang="en-US" sz="1100"/>
        </a:p>
      </xdr:txBody>
    </xdr:sp>
    <xdr:clientData/>
  </xdr:twoCellAnchor>
  <xdr:twoCellAnchor>
    <xdr:from>
      <xdr:col>13</xdr:col>
      <xdr:colOff>49489</xdr:colOff>
      <xdr:row>72</xdr:row>
      <xdr:rowOff>69129</xdr:rowOff>
    </xdr:from>
    <xdr:to>
      <xdr:col>13</xdr:col>
      <xdr:colOff>550288</xdr:colOff>
      <xdr:row>74</xdr:row>
      <xdr:rowOff>392</xdr:rowOff>
    </xdr:to>
    <xdr:sp macro="" textlink="">
      <xdr:nvSpPr>
        <xdr:cNvPr id="49" name="角丸四角形吹き出し 48"/>
        <xdr:cNvSpPr/>
      </xdr:nvSpPr>
      <xdr:spPr>
        <a:xfrm>
          <a:off x="8857659" y="12088304"/>
          <a:ext cx="500799" cy="265129"/>
        </a:xfrm>
        <a:prstGeom prst="wedgeRoundRectCallout">
          <a:avLst>
            <a:gd name="adj1" fmla="val 76068"/>
            <a:gd name="adj2" fmla="val 1062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15</xdr:col>
      <xdr:colOff>368823</xdr:colOff>
      <xdr:row>70</xdr:row>
      <xdr:rowOff>152794</xdr:rowOff>
    </xdr:from>
    <xdr:to>
      <xdr:col>16</xdr:col>
      <xdr:colOff>192070</xdr:colOff>
      <xdr:row>72</xdr:row>
      <xdr:rowOff>84057</xdr:rowOff>
    </xdr:to>
    <xdr:sp macro="" textlink="">
      <xdr:nvSpPr>
        <xdr:cNvPr id="50" name="角丸四角形吹き出し 49"/>
        <xdr:cNvSpPr/>
      </xdr:nvSpPr>
      <xdr:spPr>
        <a:xfrm>
          <a:off x="10532096" y="11838103"/>
          <a:ext cx="500799" cy="265129"/>
        </a:xfrm>
        <a:prstGeom prst="wedgeRoundRectCallout">
          <a:avLst>
            <a:gd name="adj1" fmla="val -61187"/>
            <a:gd name="adj2" fmla="val 1580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0</xdr:col>
      <xdr:colOff>84054</xdr:colOff>
      <xdr:row>68</xdr:row>
      <xdr:rowOff>44779</xdr:rowOff>
    </xdr:from>
    <xdr:to>
      <xdr:col>2</xdr:col>
      <xdr:colOff>34956</xdr:colOff>
      <xdr:row>69</xdr:row>
      <xdr:rowOff>137475</xdr:rowOff>
    </xdr:to>
    <xdr:sp macro="" textlink="">
      <xdr:nvSpPr>
        <xdr:cNvPr id="51" name="テキスト ボックス 50"/>
        <xdr:cNvSpPr txBox="1"/>
      </xdr:nvSpPr>
      <xdr:spPr>
        <a:xfrm>
          <a:off x="84054" y="11396222"/>
          <a:ext cx="1306005" cy="2596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建値に戻って決済</a:t>
          </a:r>
        </a:p>
      </xdr:txBody>
    </xdr:sp>
    <xdr:clientData/>
  </xdr:twoCellAnchor>
  <xdr:twoCellAnchor editAs="oneCell">
    <xdr:from>
      <xdr:col>0</xdr:col>
      <xdr:colOff>0</xdr:colOff>
      <xdr:row>90</xdr:row>
      <xdr:rowOff>157113</xdr:rowOff>
    </xdr:from>
    <xdr:to>
      <xdr:col>18</xdr:col>
      <xdr:colOff>171744</xdr:colOff>
      <xdr:row>119</xdr:row>
      <xdr:rowOff>108015</xdr:rowOff>
    </xdr:to>
    <xdr:pic>
      <xdr:nvPicPr>
        <xdr:cNvPr id="11268" name="Picture 4"/>
        <xdr:cNvPicPr>
          <a:picLocks noChangeAspect="1" noChangeArrowheads="1"/>
        </xdr:cNvPicPr>
      </xdr:nvPicPr>
      <xdr:blipFill>
        <a:blip xmlns:r="http://schemas.openxmlformats.org/officeDocument/2006/relationships" r:embed="rId5"/>
        <a:srcRect l="5122" t="19982" b="12767"/>
        <a:stretch>
          <a:fillRect/>
        </a:stretch>
      </xdr:blipFill>
      <xdr:spPr bwMode="auto">
        <a:xfrm>
          <a:off x="0" y="15181082"/>
          <a:ext cx="12367672" cy="4791959"/>
        </a:xfrm>
        <a:prstGeom prst="rect">
          <a:avLst/>
        </a:prstGeom>
        <a:noFill/>
        <a:ln w="1">
          <a:noFill/>
          <a:miter lim="800000"/>
          <a:headEnd/>
          <a:tailEnd type="none" w="med" len="med"/>
        </a:ln>
        <a:effectLst/>
      </xdr:spPr>
    </xdr:pic>
    <xdr:clientData/>
  </xdr:twoCellAnchor>
  <xdr:twoCellAnchor>
    <xdr:from>
      <xdr:col>0</xdr:col>
      <xdr:colOff>84057</xdr:colOff>
      <xdr:row>92</xdr:row>
      <xdr:rowOff>25139</xdr:rowOff>
    </xdr:from>
    <xdr:to>
      <xdr:col>0</xdr:col>
      <xdr:colOff>633954</xdr:colOff>
      <xdr:row>93</xdr:row>
      <xdr:rowOff>123335</xdr:rowOff>
    </xdr:to>
    <xdr:sp macro="" textlink="">
      <xdr:nvSpPr>
        <xdr:cNvPr id="54" name="テキスト ボックス 53"/>
        <xdr:cNvSpPr txBox="1"/>
      </xdr:nvSpPr>
      <xdr:spPr>
        <a:xfrm>
          <a:off x="84057" y="15382974"/>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No.75</a:t>
          </a:r>
          <a:endParaRPr kumimoji="1" lang="ja-JP" altLang="en-US" sz="1100"/>
        </a:p>
      </xdr:txBody>
    </xdr:sp>
    <xdr:clientData/>
  </xdr:twoCellAnchor>
  <xdr:twoCellAnchor>
    <xdr:from>
      <xdr:col>0</xdr:col>
      <xdr:colOff>84055</xdr:colOff>
      <xdr:row>94</xdr:row>
      <xdr:rowOff>44779</xdr:rowOff>
    </xdr:from>
    <xdr:to>
      <xdr:col>2</xdr:col>
      <xdr:colOff>34957</xdr:colOff>
      <xdr:row>98</xdr:row>
      <xdr:rowOff>393</xdr:rowOff>
    </xdr:to>
    <xdr:sp macro="" textlink="">
      <xdr:nvSpPr>
        <xdr:cNvPr id="55" name="テキスト ボックス 54"/>
        <xdr:cNvSpPr txBox="1"/>
      </xdr:nvSpPr>
      <xdr:spPr>
        <a:xfrm>
          <a:off x="84055" y="15736480"/>
          <a:ext cx="1306005" cy="623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ｗトップ形成と見てブレイク前に</a:t>
          </a:r>
          <a:r>
            <a:rPr kumimoji="1" lang="en-US" altLang="ja-JP" sz="1100"/>
            <a:t>IN</a:t>
          </a:r>
          <a:r>
            <a:rPr kumimoji="1" lang="ja-JP" altLang="en-US" sz="1100"/>
            <a:t>してみた</a:t>
          </a:r>
        </a:p>
      </xdr:txBody>
    </xdr:sp>
    <xdr:clientData/>
  </xdr:twoCellAnchor>
  <xdr:twoCellAnchor>
    <xdr:from>
      <xdr:col>9</xdr:col>
      <xdr:colOff>250987</xdr:colOff>
      <xdr:row>96</xdr:row>
      <xdr:rowOff>84055</xdr:rowOff>
    </xdr:from>
    <xdr:to>
      <xdr:col>10</xdr:col>
      <xdr:colOff>74235</xdr:colOff>
      <xdr:row>98</xdr:row>
      <xdr:rowOff>15318</xdr:rowOff>
    </xdr:to>
    <xdr:sp macro="" textlink="">
      <xdr:nvSpPr>
        <xdr:cNvPr id="56" name="角丸四角形吹き出し 55"/>
        <xdr:cNvSpPr/>
      </xdr:nvSpPr>
      <xdr:spPr>
        <a:xfrm>
          <a:off x="6348951" y="16109622"/>
          <a:ext cx="500799" cy="265129"/>
        </a:xfrm>
        <a:prstGeom prst="wedgeRoundRectCallout">
          <a:avLst>
            <a:gd name="adj1" fmla="val 81950"/>
            <a:gd name="adj2" fmla="val -18268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11</xdr:col>
      <xdr:colOff>69523</xdr:colOff>
      <xdr:row>95</xdr:row>
      <xdr:rowOff>148080</xdr:rowOff>
    </xdr:from>
    <xdr:to>
      <xdr:col>11</xdr:col>
      <xdr:colOff>570322</xdr:colOff>
      <xdr:row>97</xdr:row>
      <xdr:rowOff>79343</xdr:rowOff>
    </xdr:to>
    <xdr:sp macro="" textlink="">
      <xdr:nvSpPr>
        <xdr:cNvPr id="57" name="角丸四角形吹き出し 56"/>
        <xdr:cNvSpPr/>
      </xdr:nvSpPr>
      <xdr:spPr>
        <a:xfrm>
          <a:off x="7522590" y="16006714"/>
          <a:ext cx="500799" cy="265129"/>
        </a:xfrm>
        <a:prstGeom prst="wedgeRoundRectCallout">
          <a:avLst>
            <a:gd name="adj1" fmla="val -82755"/>
            <a:gd name="adj2" fmla="val -14935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9</xdr:col>
      <xdr:colOff>598995</xdr:colOff>
      <xdr:row>94</xdr:row>
      <xdr:rowOff>19639</xdr:rowOff>
    </xdr:from>
    <xdr:to>
      <xdr:col>11</xdr:col>
      <xdr:colOff>19639</xdr:colOff>
      <xdr:row>94</xdr:row>
      <xdr:rowOff>21227</xdr:rowOff>
    </xdr:to>
    <xdr:cxnSp macro="">
      <xdr:nvCxnSpPr>
        <xdr:cNvPr id="59" name="直線コネクタ 58"/>
        <xdr:cNvCxnSpPr/>
      </xdr:nvCxnSpPr>
      <xdr:spPr>
        <a:xfrm>
          <a:off x="6696959" y="15711340"/>
          <a:ext cx="775747"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98981</xdr:colOff>
      <xdr:row>98</xdr:row>
      <xdr:rowOff>108802</xdr:rowOff>
    </xdr:from>
    <xdr:to>
      <xdr:col>2</xdr:col>
      <xdr:colOff>49883</xdr:colOff>
      <xdr:row>102</xdr:row>
      <xdr:rowOff>64416</xdr:rowOff>
    </xdr:to>
    <xdr:sp macro="" textlink="">
      <xdr:nvSpPr>
        <xdr:cNvPr id="61" name="テキスト ボックス 60"/>
        <xdr:cNvSpPr txBox="1"/>
      </xdr:nvSpPr>
      <xdr:spPr>
        <a:xfrm>
          <a:off x="98981" y="16468235"/>
          <a:ext cx="1306005" cy="623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やはり確度は落ちる＝やるならリスク落とす</a:t>
          </a:r>
        </a:p>
      </xdr:txBody>
    </xdr:sp>
    <xdr:clientData/>
  </xdr:twoCellAnchor>
  <xdr:twoCellAnchor editAs="oneCell">
    <xdr:from>
      <xdr:col>0</xdr:col>
      <xdr:colOff>0</xdr:colOff>
      <xdr:row>120</xdr:row>
      <xdr:rowOff>147293</xdr:rowOff>
    </xdr:from>
    <xdr:to>
      <xdr:col>18</xdr:col>
      <xdr:colOff>201203</xdr:colOff>
      <xdr:row>149</xdr:row>
      <xdr:rowOff>127655</xdr:rowOff>
    </xdr:to>
    <xdr:pic>
      <xdr:nvPicPr>
        <xdr:cNvPr id="11269" name="Picture 5"/>
        <xdr:cNvPicPr>
          <a:picLocks noChangeAspect="1" noChangeArrowheads="1"/>
        </xdr:cNvPicPr>
      </xdr:nvPicPr>
      <xdr:blipFill>
        <a:blip xmlns:r="http://schemas.openxmlformats.org/officeDocument/2006/relationships" r:embed="rId6"/>
        <a:srcRect l="4896" t="19569" b="12767"/>
        <a:stretch>
          <a:fillRect/>
        </a:stretch>
      </xdr:blipFill>
      <xdr:spPr bwMode="auto">
        <a:xfrm>
          <a:off x="0" y="20179252"/>
          <a:ext cx="12397131" cy="4821418"/>
        </a:xfrm>
        <a:prstGeom prst="rect">
          <a:avLst/>
        </a:prstGeom>
        <a:noFill/>
        <a:ln w="1">
          <a:noFill/>
          <a:miter lim="800000"/>
          <a:headEnd/>
          <a:tailEnd type="none" w="med" len="med"/>
        </a:ln>
        <a:effectLst/>
      </xdr:spPr>
    </xdr:pic>
    <xdr:clientData/>
  </xdr:twoCellAnchor>
  <xdr:twoCellAnchor>
    <xdr:from>
      <xdr:col>0</xdr:col>
      <xdr:colOff>69524</xdr:colOff>
      <xdr:row>122</xdr:row>
      <xdr:rowOff>30245</xdr:rowOff>
    </xdr:from>
    <xdr:to>
      <xdr:col>0</xdr:col>
      <xdr:colOff>619421</xdr:colOff>
      <xdr:row>123</xdr:row>
      <xdr:rowOff>128441</xdr:rowOff>
    </xdr:to>
    <xdr:sp macro="" textlink="">
      <xdr:nvSpPr>
        <xdr:cNvPr id="63" name="テキスト ボックス 62"/>
        <xdr:cNvSpPr txBox="1"/>
      </xdr:nvSpPr>
      <xdr:spPr>
        <a:xfrm>
          <a:off x="69524" y="20396070"/>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No.76</a:t>
          </a:r>
          <a:endParaRPr kumimoji="1" lang="ja-JP" altLang="en-US" sz="1100"/>
        </a:p>
      </xdr:txBody>
    </xdr:sp>
    <xdr:clientData/>
  </xdr:twoCellAnchor>
  <xdr:twoCellAnchor>
    <xdr:from>
      <xdr:col>0</xdr:col>
      <xdr:colOff>69522</xdr:colOff>
      <xdr:row>124</xdr:row>
      <xdr:rowOff>49885</xdr:rowOff>
    </xdr:from>
    <xdr:to>
      <xdr:col>1</xdr:col>
      <xdr:colOff>667731</xdr:colOff>
      <xdr:row>127</xdr:row>
      <xdr:rowOff>39278</xdr:rowOff>
    </xdr:to>
    <xdr:sp macro="" textlink="">
      <xdr:nvSpPr>
        <xdr:cNvPr id="64" name="テキスト ボックス 63"/>
        <xdr:cNvSpPr txBox="1"/>
      </xdr:nvSpPr>
      <xdr:spPr>
        <a:xfrm>
          <a:off x="69522" y="20749576"/>
          <a:ext cx="1275761" cy="490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ｗトップ形成と見てブレイクで</a:t>
          </a:r>
          <a:r>
            <a:rPr kumimoji="1" lang="en-US" altLang="ja-JP" sz="1100"/>
            <a:t>IN</a:t>
          </a:r>
          <a:endParaRPr kumimoji="1" lang="ja-JP" altLang="en-US" sz="1100"/>
        </a:p>
      </xdr:txBody>
    </xdr:sp>
    <xdr:clientData/>
  </xdr:twoCellAnchor>
  <xdr:twoCellAnchor>
    <xdr:from>
      <xdr:col>10</xdr:col>
      <xdr:colOff>462305</xdr:colOff>
      <xdr:row>133</xdr:row>
      <xdr:rowOff>79341</xdr:rowOff>
    </xdr:from>
    <xdr:to>
      <xdr:col>11</xdr:col>
      <xdr:colOff>285552</xdr:colOff>
      <xdr:row>135</xdr:row>
      <xdr:rowOff>10604</xdr:rowOff>
    </xdr:to>
    <xdr:sp macro="" textlink="">
      <xdr:nvSpPr>
        <xdr:cNvPr id="65" name="角丸四角形吹き出し 64"/>
        <xdr:cNvSpPr/>
      </xdr:nvSpPr>
      <xdr:spPr>
        <a:xfrm>
          <a:off x="7237820" y="22281429"/>
          <a:ext cx="500799" cy="265129"/>
        </a:xfrm>
        <a:prstGeom prst="wedgeRoundRectCallout">
          <a:avLst>
            <a:gd name="adj1" fmla="val 72146"/>
            <a:gd name="adj2" fmla="val -1234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12</xdr:col>
      <xdr:colOff>25530</xdr:colOff>
      <xdr:row>129</xdr:row>
      <xdr:rowOff>15711</xdr:rowOff>
    </xdr:from>
    <xdr:to>
      <xdr:col>12</xdr:col>
      <xdr:colOff>526329</xdr:colOff>
      <xdr:row>130</xdr:row>
      <xdr:rowOff>113907</xdr:rowOff>
    </xdr:to>
    <xdr:sp macro="" textlink="">
      <xdr:nvSpPr>
        <xdr:cNvPr id="66" name="角丸四角形吹き出し 65"/>
        <xdr:cNvSpPr/>
      </xdr:nvSpPr>
      <xdr:spPr>
        <a:xfrm>
          <a:off x="8156149" y="21550067"/>
          <a:ext cx="500799" cy="265129"/>
        </a:xfrm>
        <a:prstGeom prst="wedgeRoundRectCallout">
          <a:avLst>
            <a:gd name="adj1" fmla="val -78834"/>
            <a:gd name="adj2" fmla="val 15435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12</xdr:col>
      <xdr:colOff>443059</xdr:colOff>
      <xdr:row>134</xdr:row>
      <xdr:rowOff>50276</xdr:rowOff>
    </xdr:from>
    <xdr:to>
      <xdr:col>14</xdr:col>
      <xdr:colOff>441881</xdr:colOff>
      <xdr:row>138</xdr:row>
      <xdr:rowOff>137474</xdr:rowOff>
    </xdr:to>
    <xdr:sp macro="" textlink="">
      <xdr:nvSpPr>
        <xdr:cNvPr id="67" name="角丸四角形吹き出し 66"/>
        <xdr:cNvSpPr/>
      </xdr:nvSpPr>
      <xdr:spPr>
        <a:xfrm>
          <a:off x="8573678" y="22419297"/>
          <a:ext cx="1353925" cy="754930"/>
        </a:xfrm>
        <a:prstGeom prst="wedgeRoundRectCallout">
          <a:avLst>
            <a:gd name="adj1" fmla="val -83186"/>
            <a:gd name="adj2" fmla="val -5896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-61.8</a:t>
          </a:r>
          <a:r>
            <a:rPr kumimoji="1" lang="ja-JP" altLang="en-US" sz="1100"/>
            <a:t>に</a:t>
          </a:r>
          <a:r>
            <a:rPr kumimoji="1" lang="ja-JP" altLang="en-US" sz="1100" b="1"/>
            <a:t>かする</a:t>
          </a:r>
          <a:r>
            <a:rPr kumimoji="1" lang="ja-JP" altLang="en-US" sz="1100"/>
            <a:t>ところまでは進んだ</a:t>
          </a:r>
        </a:p>
      </xdr:txBody>
    </xdr:sp>
    <xdr:clientData/>
  </xdr:twoCellAnchor>
  <xdr:twoCellAnchor editAs="oneCell">
    <xdr:from>
      <xdr:col>0</xdr:col>
      <xdr:colOff>0</xdr:colOff>
      <xdr:row>151</xdr:row>
      <xdr:rowOff>19639</xdr:rowOff>
    </xdr:from>
    <xdr:to>
      <xdr:col>18</xdr:col>
      <xdr:colOff>201203</xdr:colOff>
      <xdr:row>179</xdr:row>
      <xdr:rowOff>157114</xdr:rowOff>
    </xdr:to>
    <xdr:pic>
      <xdr:nvPicPr>
        <xdr:cNvPr id="11270" name="Picture 6"/>
        <xdr:cNvPicPr>
          <a:picLocks noChangeAspect="1" noChangeArrowheads="1"/>
        </xdr:cNvPicPr>
      </xdr:nvPicPr>
      <xdr:blipFill>
        <a:blip xmlns:r="http://schemas.openxmlformats.org/officeDocument/2006/relationships" r:embed="rId7"/>
        <a:srcRect l="4896" t="19569" b="12904"/>
        <a:stretch>
          <a:fillRect/>
        </a:stretch>
      </xdr:blipFill>
      <xdr:spPr bwMode="auto">
        <a:xfrm>
          <a:off x="0" y="25226520"/>
          <a:ext cx="12397131" cy="4811599"/>
        </a:xfrm>
        <a:prstGeom prst="rect">
          <a:avLst/>
        </a:prstGeom>
        <a:noFill/>
        <a:ln w="1">
          <a:noFill/>
          <a:miter lim="800000"/>
          <a:headEnd/>
          <a:tailEnd type="none" w="med" len="med"/>
        </a:ln>
        <a:effectLst/>
      </xdr:spPr>
    </xdr:pic>
    <xdr:clientData/>
  </xdr:twoCellAnchor>
  <xdr:twoCellAnchor>
    <xdr:from>
      <xdr:col>0</xdr:col>
      <xdr:colOff>74630</xdr:colOff>
      <xdr:row>152</xdr:row>
      <xdr:rowOff>74630</xdr:rowOff>
    </xdr:from>
    <xdr:to>
      <xdr:col>0</xdr:col>
      <xdr:colOff>624527</xdr:colOff>
      <xdr:row>154</xdr:row>
      <xdr:rowOff>5893</xdr:rowOff>
    </xdr:to>
    <xdr:sp macro="" textlink="">
      <xdr:nvSpPr>
        <xdr:cNvPr id="69" name="テキスト ボックス 68"/>
        <xdr:cNvSpPr txBox="1"/>
      </xdr:nvSpPr>
      <xdr:spPr>
        <a:xfrm>
          <a:off x="74630" y="25448444"/>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No.77</a:t>
          </a:r>
          <a:endParaRPr kumimoji="1" lang="ja-JP" altLang="en-US" sz="1100"/>
        </a:p>
      </xdr:txBody>
    </xdr:sp>
    <xdr:clientData/>
  </xdr:twoCellAnchor>
  <xdr:twoCellAnchor>
    <xdr:from>
      <xdr:col>0</xdr:col>
      <xdr:colOff>74628</xdr:colOff>
      <xdr:row>154</xdr:row>
      <xdr:rowOff>94270</xdr:rowOff>
    </xdr:from>
    <xdr:to>
      <xdr:col>1</xdr:col>
      <xdr:colOff>672837</xdr:colOff>
      <xdr:row>157</xdr:row>
      <xdr:rowOff>83663</xdr:rowOff>
    </xdr:to>
    <xdr:sp macro="" textlink="">
      <xdr:nvSpPr>
        <xdr:cNvPr id="70" name="テキスト ボックス 69"/>
        <xdr:cNvSpPr txBox="1"/>
      </xdr:nvSpPr>
      <xdr:spPr>
        <a:xfrm>
          <a:off x="74628" y="25801950"/>
          <a:ext cx="1275761" cy="490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ｗトップ形成と見てブレイクで</a:t>
          </a:r>
          <a:r>
            <a:rPr kumimoji="1" lang="en-US" altLang="ja-JP" sz="1100"/>
            <a:t>IN</a:t>
          </a:r>
          <a:endParaRPr kumimoji="1" lang="ja-JP" altLang="en-US" sz="1100"/>
        </a:p>
      </xdr:txBody>
    </xdr:sp>
    <xdr:clientData/>
  </xdr:twoCellAnchor>
  <xdr:twoCellAnchor>
    <xdr:from>
      <xdr:col>12</xdr:col>
      <xdr:colOff>329936</xdr:colOff>
      <xdr:row>156</xdr:row>
      <xdr:rowOff>35350</xdr:rowOff>
    </xdr:from>
    <xdr:to>
      <xdr:col>13</xdr:col>
      <xdr:colOff>153184</xdr:colOff>
      <xdr:row>157</xdr:row>
      <xdr:rowOff>133546</xdr:rowOff>
    </xdr:to>
    <xdr:sp macro="" textlink="">
      <xdr:nvSpPr>
        <xdr:cNvPr id="71" name="角丸四角形吹き出し 70"/>
        <xdr:cNvSpPr/>
      </xdr:nvSpPr>
      <xdr:spPr>
        <a:xfrm>
          <a:off x="8460555" y="26076896"/>
          <a:ext cx="500799" cy="265129"/>
        </a:xfrm>
        <a:prstGeom prst="wedgeRoundRectCallout">
          <a:avLst>
            <a:gd name="adj1" fmla="val 72146"/>
            <a:gd name="adj2" fmla="val -1234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14</xdr:col>
      <xdr:colOff>236847</xdr:colOff>
      <xdr:row>151</xdr:row>
      <xdr:rowOff>89555</xdr:rowOff>
    </xdr:from>
    <xdr:to>
      <xdr:col>15</xdr:col>
      <xdr:colOff>60095</xdr:colOff>
      <xdr:row>153</xdr:row>
      <xdr:rowOff>20818</xdr:rowOff>
    </xdr:to>
    <xdr:sp macro="" textlink="">
      <xdr:nvSpPr>
        <xdr:cNvPr id="72" name="角丸四角形吹き出し 71"/>
        <xdr:cNvSpPr/>
      </xdr:nvSpPr>
      <xdr:spPr>
        <a:xfrm>
          <a:off x="9722569" y="25296436"/>
          <a:ext cx="500799" cy="265129"/>
        </a:xfrm>
        <a:prstGeom prst="wedgeRoundRectCallout">
          <a:avLst>
            <a:gd name="adj1" fmla="val -72952"/>
            <a:gd name="adj2" fmla="val 8398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14</xdr:col>
      <xdr:colOff>418706</xdr:colOff>
      <xdr:row>156</xdr:row>
      <xdr:rowOff>163398</xdr:rowOff>
    </xdr:from>
    <xdr:to>
      <xdr:col>16</xdr:col>
      <xdr:colOff>500799</xdr:colOff>
      <xdr:row>161</xdr:row>
      <xdr:rowOff>83663</xdr:rowOff>
    </xdr:to>
    <xdr:sp macro="" textlink="">
      <xdr:nvSpPr>
        <xdr:cNvPr id="73" name="角丸四角形吹き出し 72"/>
        <xdr:cNvSpPr/>
      </xdr:nvSpPr>
      <xdr:spPr>
        <a:xfrm>
          <a:off x="9904428" y="26204944"/>
          <a:ext cx="1437196" cy="754930"/>
        </a:xfrm>
        <a:prstGeom prst="wedgeRoundRectCallout">
          <a:avLst>
            <a:gd name="adj1" fmla="val -79770"/>
            <a:gd name="adj2" fmla="val -6026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自分の欲が制御できなければターゲット設定するべき</a:t>
          </a:r>
        </a:p>
      </xdr:txBody>
    </xdr:sp>
    <xdr:clientData/>
  </xdr:twoCellAnchor>
  <xdr:twoCellAnchor>
    <xdr:from>
      <xdr:col>0</xdr:col>
      <xdr:colOff>89554</xdr:colOff>
      <xdr:row>158</xdr:row>
      <xdr:rowOff>11000</xdr:rowOff>
    </xdr:from>
    <xdr:to>
      <xdr:col>2</xdr:col>
      <xdr:colOff>58918</xdr:colOff>
      <xdr:row>161</xdr:row>
      <xdr:rowOff>127655</xdr:rowOff>
    </xdr:to>
    <xdr:sp macro="" textlink="">
      <xdr:nvSpPr>
        <xdr:cNvPr id="74" name="テキスト ボックス 73"/>
        <xdr:cNvSpPr txBox="1"/>
      </xdr:nvSpPr>
      <xdr:spPr>
        <a:xfrm>
          <a:off x="89554" y="26386412"/>
          <a:ext cx="1324467" cy="617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決済ポイントを過ぎてしまっていたら即決済すべし！！</a:t>
          </a:r>
        </a:p>
      </xdr:txBody>
    </xdr:sp>
    <xdr:clientData/>
  </xdr:twoCellAnchor>
  <xdr:twoCellAnchor editAs="oneCell">
    <xdr:from>
      <xdr:col>0</xdr:col>
      <xdr:colOff>0</xdr:colOff>
      <xdr:row>181</xdr:row>
      <xdr:rowOff>49098</xdr:rowOff>
    </xdr:from>
    <xdr:to>
      <xdr:col>18</xdr:col>
      <xdr:colOff>161924</xdr:colOff>
      <xdr:row>210</xdr:row>
      <xdr:rowOff>29459</xdr:rowOff>
    </xdr:to>
    <xdr:pic>
      <xdr:nvPicPr>
        <xdr:cNvPr id="11271" name="Picture 7"/>
        <xdr:cNvPicPr>
          <a:picLocks noChangeAspect="1" noChangeArrowheads="1"/>
        </xdr:cNvPicPr>
      </xdr:nvPicPr>
      <xdr:blipFill>
        <a:blip xmlns:r="http://schemas.openxmlformats.org/officeDocument/2006/relationships" r:embed="rId8"/>
        <a:srcRect l="5198" t="19707" b="12629"/>
        <a:stretch>
          <a:fillRect/>
        </a:stretch>
      </xdr:blipFill>
      <xdr:spPr bwMode="auto">
        <a:xfrm>
          <a:off x="0" y="30263969"/>
          <a:ext cx="12357852" cy="4821418"/>
        </a:xfrm>
        <a:prstGeom prst="rect">
          <a:avLst/>
        </a:prstGeom>
        <a:noFill/>
        <a:ln w="1">
          <a:noFill/>
          <a:miter lim="800000"/>
          <a:headEnd/>
          <a:tailEnd type="none" w="med" len="med"/>
        </a:ln>
        <a:effectLst/>
      </xdr:spPr>
    </xdr:pic>
    <xdr:clientData/>
  </xdr:twoCellAnchor>
  <xdr:twoCellAnchor>
    <xdr:from>
      <xdr:col>0</xdr:col>
      <xdr:colOff>69917</xdr:colOff>
      <xdr:row>182</xdr:row>
      <xdr:rowOff>99375</xdr:rowOff>
    </xdr:from>
    <xdr:to>
      <xdr:col>0</xdr:col>
      <xdr:colOff>619814</xdr:colOff>
      <xdr:row>184</xdr:row>
      <xdr:rowOff>30638</xdr:rowOff>
    </xdr:to>
    <xdr:sp macro="" textlink="">
      <xdr:nvSpPr>
        <xdr:cNvPr id="76" name="テキスト ボックス 75"/>
        <xdr:cNvSpPr txBox="1"/>
      </xdr:nvSpPr>
      <xdr:spPr>
        <a:xfrm>
          <a:off x="69917" y="30481179"/>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No.79</a:t>
          </a:r>
          <a:endParaRPr kumimoji="1" lang="ja-JP" altLang="en-US" sz="1100"/>
        </a:p>
      </xdr:txBody>
    </xdr:sp>
    <xdr:clientData/>
  </xdr:twoCellAnchor>
  <xdr:twoCellAnchor>
    <xdr:from>
      <xdr:col>0</xdr:col>
      <xdr:colOff>69915</xdr:colOff>
      <xdr:row>184</xdr:row>
      <xdr:rowOff>119015</xdr:rowOff>
    </xdr:from>
    <xdr:to>
      <xdr:col>1</xdr:col>
      <xdr:colOff>668124</xdr:colOff>
      <xdr:row>187</xdr:row>
      <xdr:rowOff>108408</xdr:rowOff>
    </xdr:to>
    <xdr:sp macro="" textlink="">
      <xdr:nvSpPr>
        <xdr:cNvPr id="77" name="テキスト ボックス 76"/>
        <xdr:cNvSpPr txBox="1"/>
      </xdr:nvSpPr>
      <xdr:spPr>
        <a:xfrm>
          <a:off x="69915" y="30834685"/>
          <a:ext cx="1275761" cy="4901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ｗボトムと見てブレイクで買い</a:t>
          </a:r>
          <a:r>
            <a:rPr kumimoji="1" lang="en-US" altLang="ja-JP" sz="1100"/>
            <a:t>IN</a:t>
          </a:r>
          <a:endParaRPr kumimoji="1" lang="ja-JP" altLang="en-US" sz="1100"/>
        </a:p>
      </xdr:txBody>
    </xdr:sp>
    <xdr:clientData/>
  </xdr:twoCellAnchor>
  <xdr:twoCellAnchor>
    <xdr:from>
      <xdr:col>15</xdr:col>
      <xdr:colOff>511796</xdr:colOff>
      <xdr:row>196</xdr:row>
      <xdr:rowOff>40456</xdr:rowOff>
    </xdr:from>
    <xdr:to>
      <xdr:col>16</xdr:col>
      <xdr:colOff>335043</xdr:colOff>
      <xdr:row>197</xdr:row>
      <xdr:rowOff>138652</xdr:rowOff>
    </xdr:to>
    <xdr:sp macro="" textlink="">
      <xdr:nvSpPr>
        <xdr:cNvPr id="78" name="角丸四角形吹き出し 77"/>
        <xdr:cNvSpPr/>
      </xdr:nvSpPr>
      <xdr:spPr>
        <a:xfrm>
          <a:off x="10675069" y="32759322"/>
          <a:ext cx="500799" cy="265129"/>
        </a:xfrm>
        <a:prstGeom prst="wedgeRoundRectCallout">
          <a:avLst>
            <a:gd name="adj1" fmla="val 97636"/>
            <a:gd name="adj2" fmla="val 5435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16</xdr:col>
      <xdr:colOff>457985</xdr:colOff>
      <xdr:row>193</xdr:row>
      <xdr:rowOff>25924</xdr:rowOff>
    </xdr:from>
    <xdr:to>
      <xdr:col>17</xdr:col>
      <xdr:colOff>281233</xdr:colOff>
      <xdr:row>194</xdr:row>
      <xdr:rowOff>124120</xdr:rowOff>
    </xdr:to>
    <xdr:sp macro="" textlink="">
      <xdr:nvSpPr>
        <xdr:cNvPr id="79" name="角丸四角形吹き出し 78"/>
        <xdr:cNvSpPr/>
      </xdr:nvSpPr>
      <xdr:spPr>
        <a:xfrm>
          <a:off x="11298810" y="32243991"/>
          <a:ext cx="500799" cy="265129"/>
        </a:xfrm>
        <a:prstGeom prst="wedgeRoundRectCallout">
          <a:avLst>
            <a:gd name="adj1" fmla="val 11362"/>
            <a:gd name="adj2" fmla="val 1247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0</xdr:col>
      <xdr:colOff>84841</xdr:colOff>
      <xdr:row>188</xdr:row>
      <xdr:rowOff>25925</xdr:rowOff>
    </xdr:from>
    <xdr:to>
      <xdr:col>2</xdr:col>
      <xdr:colOff>5499</xdr:colOff>
      <xdr:row>191</xdr:row>
      <xdr:rowOff>137474</xdr:rowOff>
    </xdr:to>
    <xdr:sp macro="" textlink="">
      <xdr:nvSpPr>
        <xdr:cNvPr id="80" name="テキスト ボックス 79"/>
        <xdr:cNvSpPr txBox="1"/>
      </xdr:nvSpPr>
      <xdr:spPr>
        <a:xfrm>
          <a:off x="84841" y="31409327"/>
          <a:ext cx="1275761" cy="6123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-61.8</a:t>
          </a:r>
          <a:r>
            <a:rPr kumimoji="1" lang="ja-JP" altLang="en-US" sz="1100"/>
            <a:t>にかすったところでターゲット決済♪</a:t>
          </a:r>
        </a:p>
      </xdr:txBody>
    </xdr:sp>
    <xdr:clientData/>
  </xdr:twoCellAnchor>
  <xdr:twoCellAnchor>
    <xdr:from>
      <xdr:col>0</xdr:col>
      <xdr:colOff>75024</xdr:colOff>
      <xdr:row>212</xdr:row>
      <xdr:rowOff>55383</xdr:rowOff>
    </xdr:from>
    <xdr:to>
      <xdr:col>1</xdr:col>
      <xdr:colOff>147293</xdr:colOff>
      <xdr:row>213</xdr:row>
      <xdr:rowOff>153579</xdr:rowOff>
    </xdr:to>
    <xdr:sp macro="" textlink="">
      <xdr:nvSpPr>
        <xdr:cNvPr id="82" name="テキスト ボックス 81"/>
        <xdr:cNvSpPr txBox="1"/>
      </xdr:nvSpPr>
      <xdr:spPr>
        <a:xfrm>
          <a:off x="75024" y="35445177"/>
          <a:ext cx="74982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No.80､81</a:t>
          </a:r>
          <a:endParaRPr kumimoji="1" lang="ja-JP" altLang="en-US" sz="1100"/>
        </a:p>
      </xdr:txBody>
    </xdr:sp>
    <xdr:clientData/>
  </xdr:twoCellAnchor>
  <xdr:twoCellAnchor>
    <xdr:from>
      <xdr:col>0</xdr:col>
      <xdr:colOff>75022</xdr:colOff>
      <xdr:row>214</xdr:row>
      <xdr:rowOff>75022</xdr:rowOff>
    </xdr:from>
    <xdr:to>
      <xdr:col>1</xdr:col>
      <xdr:colOff>673231</xdr:colOff>
      <xdr:row>218</xdr:row>
      <xdr:rowOff>49097</xdr:rowOff>
    </xdr:to>
    <xdr:sp macro="" textlink="">
      <xdr:nvSpPr>
        <xdr:cNvPr id="83" name="テキスト ボックス 82"/>
        <xdr:cNvSpPr txBox="1"/>
      </xdr:nvSpPr>
      <xdr:spPr>
        <a:xfrm>
          <a:off x="75022" y="35798682"/>
          <a:ext cx="1275761" cy="641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足でｗボトムと見てブレイクで買い</a:t>
          </a:r>
          <a:r>
            <a:rPr kumimoji="1" lang="en-US" altLang="ja-JP" sz="1100"/>
            <a:t>IN</a:t>
          </a:r>
          <a:endParaRPr kumimoji="1" lang="ja-JP" altLang="en-US" sz="1100"/>
        </a:p>
      </xdr:txBody>
    </xdr:sp>
    <xdr:clientData/>
  </xdr:twoCellAnchor>
  <xdr:twoCellAnchor>
    <xdr:from>
      <xdr:col>11</xdr:col>
      <xdr:colOff>432062</xdr:colOff>
      <xdr:row>221</xdr:row>
      <xdr:rowOff>19639</xdr:rowOff>
    </xdr:from>
    <xdr:to>
      <xdr:col>12</xdr:col>
      <xdr:colOff>664196</xdr:colOff>
      <xdr:row>222</xdr:row>
      <xdr:rowOff>153577</xdr:rowOff>
    </xdr:to>
    <xdr:sp macro="" textlink="">
      <xdr:nvSpPr>
        <xdr:cNvPr id="84" name="角丸四角形吹き出し 83"/>
        <xdr:cNvSpPr/>
      </xdr:nvSpPr>
      <xdr:spPr>
        <a:xfrm>
          <a:off x="7885129" y="36911830"/>
          <a:ext cx="909686" cy="300871"/>
        </a:xfrm>
        <a:prstGeom prst="wedgeRoundRectCallout">
          <a:avLst>
            <a:gd name="adj1" fmla="val 79285"/>
            <a:gd name="adj2" fmla="val 5761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No.80 IN</a:t>
          </a:r>
          <a:endParaRPr kumimoji="1" lang="ja-JP" altLang="en-US" sz="1100"/>
        </a:p>
      </xdr:txBody>
    </xdr:sp>
    <xdr:clientData/>
  </xdr:twoCellAnchor>
  <xdr:twoCellAnchor>
    <xdr:from>
      <xdr:col>14</xdr:col>
      <xdr:colOff>80128</xdr:colOff>
      <xdr:row>212</xdr:row>
      <xdr:rowOff>60489</xdr:rowOff>
    </xdr:from>
    <xdr:to>
      <xdr:col>14</xdr:col>
      <xdr:colOff>580927</xdr:colOff>
      <xdr:row>213</xdr:row>
      <xdr:rowOff>158685</xdr:rowOff>
    </xdr:to>
    <xdr:sp macro="" textlink="">
      <xdr:nvSpPr>
        <xdr:cNvPr id="85" name="角丸四角形吹き出し 84"/>
        <xdr:cNvSpPr/>
      </xdr:nvSpPr>
      <xdr:spPr>
        <a:xfrm>
          <a:off x="9565850" y="35450283"/>
          <a:ext cx="500799" cy="265129"/>
        </a:xfrm>
        <a:prstGeom prst="wedgeRoundRectCallout">
          <a:avLst>
            <a:gd name="adj1" fmla="val 11362"/>
            <a:gd name="adj2" fmla="val 1247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8</xdr:col>
      <xdr:colOff>88377</xdr:colOff>
      <xdr:row>220</xdr:row>
      <xdr:rowOff>147294</xdr:rowOff>
    </xdr:from>
    <xdr:to>
      <xdr:col>14</xdr:col>
      <xdr:colOff>304407</xdr:colOff>
      <xdr:row>225</xdr:row>
      <xdr:rowOff>108015</xdr:rowOff>
    </xdr:to>
    <xdr:cxnSp macro="">
      <xdr:nvCxnSpPr>
        <xdr:cNvPr id="88" name="直線コネクタ 87"/>
        <xdr:cNvCxnSpPr/>
      </xdr:nvCxnSpPr>
      <xdr:spPr>
        <a:xfrm>
          <a:off x="5508789" y="36872552"/>
          <a:ext cx="4281340" cy="795386"/>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132761</xdr:colOff>
      <xdr:row>223</xdr:row>
      <xdr:rowOff>44384</xdr:rowOff>
    </xdr:from>
    <xdr:to>
      <xdr:col>14</xdr:col>
      <xdr:colOff>235670</xdr:colOff>
      <xdr:row>223</xdr:row>
      <xdr:rowOff>49097</xdr:rowOff>
    </xdr:to>
    <xdr:cxnSp macro="">
      <xdr:nvCxnSpPr>
        <xdr:cNvPr id="93" name="直線コネクタ 92"/>
        <xdr:cNvCxnSpPr/>
      </xdr:nvCxnSpPr>
      <xdr:spPr>
        <a:xfrm>
          <a:off x="8263380" y="37270441"/>
          <a:ext cx="1458012"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496085</xdr:colOff>
      <xdr:row>218</xdr:row>
      <xdr:rowOff>93482</xdr:rowOff>
    </xdr:from>
    <xdr:to>
      <xdr:col>13</xdr:col>
      <xdr:colOff>50668</xdr:colOff>
      <xdr:row>220</xdr:row>
      <xdr:rowOff>60487</xdr:rowOff>
    </xdr:to>
    <xdr:sp macro="" textlink="">
      <xdr:nvSpPr>
        <xdr:cNvPr id="95" name="角丸四角形吹き出し 94"/>
        <xdr:cNvSpPr/>
      </xdr:nvSpPr>
      <xdr:spPr>
        <a:xfrm>
          <a:off x="7949152" y="36484874"/>
          <a:ext cx="909686" cy="300871"/>
        </a:xfrm>
        <a:prstGeom prst="wedgeRoundRectCallout">
          <a:avLst>
            <a:gd name="adj1" fmla="val 79285"/>
            <a:gd name="adj2" fmla="val 5761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No.81 IN</a:t>
          </a:r>
          <a:endParaRPr kumimoji="1" lang="ja-JP" altLang="en-US" sz="1100"/>
        </a:p>
      </xdr:txBody>
    </xdr:sp>
    <xdr:clientData/>
  </xdr:twoCellAnchor>
  <xdr:twoCellAnchor>
    <xdr:from>
      <xdr:col>15</xdr:col>
      <xdr:colOff>158684</xdr:colOff>
      <xdr:row>215</xdr:row>
      <xdr:rowOff>158684</xdr:rowOff>
    </xdr:from>
    <xdr:to>
      <xdr:col>17</xdr:col>
      <xdr:colOff>314227</xdr:colOff>
      <xdr:row>220</xdr:row>
      <xdr:rowOff>78949</xdr:rowOff>
    </xdr:to>
    <xdr:sp macro="" textlink="">
      <xdr:nvSpPr>
        <xdr:cNvPr id="96" name="角丸四角形吹き出し 95"/>
        <xdr:cNvSpPr/>
      </xdr:nvSpPr>
      <xdr:spPr>
        <a:xfrm>
          <a:off x="10321957" y="36049277"/>
          <a:ext cx="1510646" cy="754930"/>
        </a:xfrm>
        <a:prstGeom prst="wedgeRoundRectCallout">
          <a:avLst>
            <a:gd name="adj1" fmla="val -75870"/>
            <a:gd name="adj2" fmla="val -5766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奇跡的に設定したターゲットに到達</a:t>
          </a:r>
          <a:endParaRPr kumimoji="1" lang="en-US" altLang="ja-JP" sz="1100"/>
        </a:p>
        <a:p>
          <a:pPr algn="ctr"/>
          <a:r>
            <a:rPr kumimoji="1" lang="ja-JP" altLang="en-US" sz="1100"/>
            <a:t>→味をしめるとマズイ</a:t>
          </a:r>
        </a:p>
      </xdr:txBody>
    </xdr:sp>
    <xdr:clientData/>
  </xdr:twoCellAnchor>
  <xdr:twoCellAnchor>
    <xdr:from>
      <xdr:col>0</xdr:col>
      <xdr:colOff>80128</xdr:colOff>
      <xdr:row>219</xdr:row>
      <xdr:rowOff>1573</xdr:rowOff>
    </xdr:from>
    <xdr:to>
      <xdr:col>2</xdr:col>
      <xdr:colOff>39278</xdr:colOff>
      <xdr:row>222</xdr:row>
      <xdr:rowOff>127655</xdr:rowOff>
    </xdr:to>
    <xdr:sp macro="" textlink="">
      <xdr:nvSpPr>
        <xdr:cNvPr id="97" name="テキスト ボックス 96"/>
        <xdr:cNvSpPr txBox="1"/>
      </xdr:nvSpPr>
      <xdr:spPr>
        <a:xfrm>
          <a:off x="80128" y="36559898"/>
          <a:ext cx="1314253" cy="626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ってｗボトム後安値更新してるから確度極低と見るべき</a:t>
          </a:r>
          <a:endParaRPr kumimoji="1" lang="en-US" altLang="ja-JP" sz="1100"/>
        </a:p>
      </xdr:txBody>
    </xdr:sp>
    <xdr:clientData/>
  </xdr:twoCellAnchor>
  <xdr:twoCellAnchor>
    <xdr:from>
      <xdr:col>0</xdr:col>
      <xdr:colOff>65594</xdr:colOff>
      <xdr:row>223</xdr:row>
      <xdr:rowOff>85235</xdr:rowOff>
    </xdr:from>
    <xdr:to>
      <xdr:col>1</xdr:col>
      <xdr:colOff>663803</xdr:colOff>
      <xdr:row>227</xdr:row>
      <xdr:rowOff>44384</xdr:rowOff>
    </xdr:to>
    <xdr:sp macro="" textlink="">
      <xdr:nvSpPr>
        <xdr:cNvPr id="98" name="テキスト ボックス 97"/>
        <xdr:cNvSpPr txBox="1"/>
      </xdr:nvSpPr>
      <xdr:spPr>
        <a:xfrm>
          <a:off x="65594" y="37311292"/>
          <a:ext cx="1275761" cy="626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堅実なトレードをするなら入るべきではない相場</a:t>
          </a:r>
          <a:r>
            <a:rPr kumimoji="1" lang="en-US" altLang="ja-JP" sz="1100"/>
            <a:t>…</a:t>
          </a:r>
        </a:p>
      </xdr:txBody>
    </xdr:sp>
    <xdr:clientData/>
  </xdr:twoCellAnchor>
  <xdr:twoCellAnchor>
    <xdr:from>
      <xdr:col>2</xdr:col>
      <xdr:colOff>6677</xdr:colOff>
      <xdr:row>228</xdr:row>
      <xdr:rowOff>95052</xdr:rowOff>
    </xdr:from>
    <xdr:to>
      <xdr:col>4</xdr:col>
      <xdr:colOff>324048</xdr:colOff>
      <xdr:row>234</xdr:row>
      <xdr:rowOff>49097</xdr:rowOff>
    </xdr:to>
    <xdr:sp macro="" textlink="">
      <xdr:nvSpPr>
        <xdr:cNvPr id="99" name="角丸四角形吹き出し 98"/>
        <xdr:cNvSpPr/>
      </xdr:nvSpPr>
      <xdr:spPr>
        <a:xfrm>
          <a:off x="1361780" y="38155774"/>
          <a:ext cx="1672474" cy="955643"/>
        </a:xfrm>
        <a:prstGeom prst="wedgeRoundRectCallout">
          <a:avLst>
            <a:gd name="adj1" fmla="val -71760"/>
            <a:gd name="adj2" fmla="val -6588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a:t>
          </a:r>
          <a:r>
            <a:rPr kumimoji="1" lang="en-US" altLang="ja-JP" sz="1100"/>
            <a:t>AUDCHF,CADCHF</a:t>
          </a:r>
          <a:r>
            <a:rPr kumimoji="1" lang="ja-JP" altLang="en-US" sz="1100"/>
            <a:t>が逆相関でｗトップをつけていて、その相場の後押しもあった</a:t>
          </a:r>
        </a:p>
      </xdr:txBody>
    </xdr:sp>
    <xdr:clientData/>
  </xdr:twoCellAnchor>
  <xdr:twoCellAnchor>
    <xdr:from>
      <xdr:col>5</xdr:col>
      <xdr:colOff>119799</xdr:colOff>
      <xdr:row>230</xdr:row>
      <xdr:rowOff>58917</xdr:rowOff>
    </xdr:from>
    <xdr:to>
      <xdr:col>7</xdr:col>
      <xdr:colOff>437170</xdr:colOff>
      <xdr:row>235</xdr:row>
      <xdr:rowOff>14925</xdr:rowOff>
    </xdr:to>
    <xdr:sp macro="" textlink="">
      <xdr:nvSpPr>
        <xdr:cNvPr id="100" name="角丸四角形吹き出し 99"/>
        <xdr:cNvSpPr/>
      </xdr:nvSpPr>
      <xdr:spPr>
        <a:xfrm>
          <a:off x="3507557" y="38453505"/>
          <a:ext cx="1672474" cy="790673"/>
        </a:xfrm>
        <a:prstGeom prst="wedgeRoundRectCallout">
          <a:avLst>
            <a:gd name="adj1" fmla="val -79393"/>
            <a:gd name="adj2" fmla="val -2889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決済後反転したので</a:t>
          </a:r>
          <a:r>
            <a:rPr kumimoji="1" lang="en-US" altLang="ja-JP" sz="1100"/>
            <a:t>AUDCHF</a:t>
          </a:r>
          <a:r>
            <a:rPr kumimoji="1" lang="ja-JP" altLang="en-US" sz="1100"/>
            <a:t>、</a:t>
          </a:r>
          <a:r>
            <a:rPr kumimoji="1" lang="en-US" altLang="ja-JP" sz="1100"/>
            <a:t>CADCHF</a:t>
          </a:r>
          <a:r>
            <a:rPr kumimoji="1" lang="ja-JP" altLang="en-US" sz="1100"/>
            <a:t>で</a:t>
          </a:r>
          <a:r>
            <a:rPr kumimoji="1" lang="en-US" altLang="ja-JP" sz="1100"/>
            <a:t>IN</a:t>
          </a:r>
          <a:r>
            <a:rPr kumimoji="1" lang="ja-JP" altLang="en-US" sz="1100"/>
            <a:t>していれば負けていた</a:t>
          </a:r>
        </a:p>
      </xdr:txBody>
    </xdr:sp>
    <xdr:clientData/>
  </xdr:twoCellAnchor>
  <xdr:twoCellAnchor>
    <xdr:from>
      <xdr:col>8</xdr:col>
      <xdr:colOff>203463</xdr:colOff>
      <xdr:row>232</xdr:row>
      <xdr:rowOff>93483</xdr:rowOff>
    </xdr:from>
    <xdr:to>
      <xdr:col>10</xdr:col>
      <xdr:colOff>520834</xdr:colOff>
      <xdr:row>237</xdr:row>
      <xdr:rowOff>49491</xdr:rowOff>
    </xdr:to>
    <xdr:sp macro="" textlink="">
      <xdr:nvSpPr>
        <xdr:cNvPr id="101" name="角丸四角形吹き出し 100"/>
        <xdr:cNvSpPr/>
      </xdr:nvSpPr>
      <xdr:spPr>
        <a:xfrm>
          <a:off x="5623875" y="38821937"/>
          <a:ext cx="1672474" cy="790673"/>
        </a:xfrm>
        <a:prstGeom prst="wedgeRoundRectCallout">
          <a:avLst>
            <a:gd name="adj1" fmla="val -79393"/>
            <a:gd name="adj2" fmla="val -2889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複数のペアが似た動きをしている時は、先に動いたペアに</a:t>
          </a:r>
          <a:r>
            <a:rPr kumimoji="1" lang="en-US" altLang="ja-JP" sz="1100"/>
            <a:t>IN</a:t>
          </a:r>
          <a:r>
            <a:rPr kumimoji="1" lang="ja-JP" altLang="en-US" sz="1100"/>
            <a:t>するべきかも？</a:t>
          </a:r>
        </a:p>
      </xdr:txBody>
    </xdr:sp>
    <xdr:clientData/>
  </xdr:twoCellAnchor>
  <xdr:twoCellAnchor>
    <xdr:from>
      <xdr:col>6</xdr:col>
      <xdr:colOff>520438</xdr:colOff>
      <xdr:row>227</xdr:row>
      <xdr:rowOff>58917</xdr:rowOff>
    </xdr:from>
    <xdr:to>
      <xdr:col>8</xdr:col>
      <xdr:colOff>413993</xdr:colOff>
      <xdr:row>229</xdr:row>
      <xdr:rowOff>139044</xdr:rowOff>
    </xdr:to>
    <xdr:sp macro="" textlink="">
      <xdr:nvSpPr>
        <xdr:cNvPr id="102" name="角丸四角形吹き出し 101"/>
        <xdr:cNvSpPr/>
      </xdr:nvSpPr>
      <xdr:spPr>
        <a:xfrm>
          <a:off x="4585747" y="37952706"/>
          <a:ext cx="1248658" cy="413993"/>
        </a:xfrm>
        <a:prstGeom prst="wedgeRoundRectCallout">
          <a:avLst>
            <a:gd name="adj1" fmla="val 69062"/>
            <a:gd name="adj2" fmla="val 5049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ココが本来のｗボトム右側</a:t>
          </a:r>
        </a:p>
      </xdr:txBody>
    </xdr:sp>
    <xdr:clientData/>
  </xdr:twoCellAnchor>
  <xdr:twoCellAnchor>
    <xdr:from>
      <xdr:col>16</xdr:col>
      <xdr:colOff>9819</xdr:colOff>
      <xdr:row>63</xdr:row>
      <xdr:rowOff>157115</xdr:rowOff>
    </xdr:from>
    <xdr:to>
      <xdr:col>18</xdr:col>
      <xdr:colOff>9819</xdr:colOff>
      <xdr:row>70</xdr:row>
      <xdr:rowOff>9822</xdr:rowOff>
    </xdr:to>
    <xdr:sp macro="" textlink="">
      <xdr:nvSpPr>
        <xdr:cNvPr id="92" name="角丸四角形吹き出し 91"/>
        <xdr:cNvSpPr/>
      </xdr:nvSpPr>
      <xdr:spPr>
        <a:xfrm>
          <a:off x="10850644" y="10673893"/>
          <a:ext cx="1355103" cy="1021238"/>
        </a:xfrm>
        <a:prstGeom prst="wedgeRoundRectCallout">
          <a:avLst>
            <a:gd name="adj1" fmla="val -25216"/>
            <a:gd name="adj2" fmla="val 9055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0</a:t>
          </a:r>
          <a:r>
            <a:rPr kumimoji="1" lang="ja-JP" altLang="en-US" sz="1100"/>
            <a:t>～ｰ</a:t>
          </a:r>
          <a:r>
            <a:rPr kumimoji="1" lang="en-US" altLang="ja-JP" sz="1100"/>
            <a:t>61.8</a:t>
          </a:r>
          <a:r>
            <a:rPr kumimoji="1" lang="ja-JP" altLang="en-US" sz="1100"/>
            <a:t>間で</a:t>
          </a:r>
          <a:r>
            <a:rPr kumimoji="1" lang="en-US" altLang="ja-JP" sz="1100"/>
            <a:t>FIB</a:t>
          </a:r>
          <a:r>
            <a:rPr kumimoji="1" lang="ja-JP" altLang="en-US" sz="1100"/>
            <a:t>引いて</a:t>
          </a:r>
          <a:r>
            <a:rPr kumimoji="1" lang="en-US" altLang="ja-JP" sz="1100"/>
            <a:t>61.8</a:t>
          </a:r>
          <a:r>
            <a:rPr kumimoji="1" lang="ja-JP" altLang="en-US" sz="1100"/>
            <a:t>以上進んでから戻ったらストップ建値移動でイイかも</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C000"/>
  </sheetPr>
  <dimension ref="A1:L11"/>
  <sheetViews>
    <sheetView zoomScaleSheetLayoutView="100" workbookViewId="0">
      <pane ySplit="1" topLeftCell="A11" activePane="bottomLeft" state="frozen"/>
      <selection pane="bottomLeft" activeCell="G15" sqref="G15"/>
    </sheetView>
  </sheetViews>
  <sheetFormatPr defaultColWidth="10" defaultRowHeight="13.5" customHeight="1"/>
  <cols>
    <col min="1" max="1" width="3.875" customWidth="1"/>
    <col min="2" max="2" width="23.5" style="92"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86" t="s">
        <v>68</v>
      </c>
      <c r="B1" s="87" t="s">
        <v>158</v>
      </c>
      <c r="C1" s="88" t="s">
        <v>116</v>
      </c>
      <c r="D1" s="206" t="s">
        <v>117</v>
      </c>
      <c r="E1" s="206"/>
      <c r="F1" s="206"/>
      <c r="G1" s="206"/>
      <c r="H1" s="206"/>
      <c r="I1" s="206"/>
      <c r="J1" s="206"/>
      <c r="K1" s="206"/>
      <c r="L1" s="206"/>
    </row>
    <row r="2" spans="1:12" ht="29.25" customHeight="1">
      <c r="A2" s="89">
        <v>1</v>
      </c>
      <c r="B2" s="90" t="s">
        <v>118</v>
      </c>
      <c r="C2" s="90" t="s">
        <v>119</v>
      </c>
      <c r="D2" s="207" t="s">
        <v>120</v>
      </c>
      <c r="E2" s="199"/>
      <c r="F2" s="199"/>
      <c r="G2" s="199"/>
      <c r="H2" s="199"/>
      <c r="I2" s="199"/>
      <c r="J2" s="199"/>
      <c r="K2" s="199"/>
      <c r="L2" s="199"/>
    </row>
    <row r="3" spans="1:12" ht="127.5" customHeight="1">
      <c r="A3" s="97">
        <v>2</v>
      </c>
      <c r="B3" s="91" t="s">
        <v>121</v>
      </c>
      <c r="C3" s="91" t="s">
        <v>122</v>
      </c>
      <c r="D3" s="208" t="s">
        <v>123</v>
      </c>
      <c r="E3" s="202"/>
      <c r="F3" s="202"/>
      <c r="G3" s="202"/>
      <c r="H3" s="202"/>
      <c r="I3" s="202"/>
      <c r="J3" s="202"/>
      <c r="K3" s="202"/>
      <c r="L3" s="202"/>
    </row>
    <row r="4" spans="1:12" ht="80.25" customHeight="1">
      <c r="A4" s="97">
        <v>3</v>
      </c>
      <c r="B4" s="91" t="s">
        <v>121</v>
      </c>
      <c r="C4" s="91" t="s">
        <v>124</v>
      </c>
      <c r="D4" s="201" t="s">
        <v>143</v>
      </c>
      <c r="E4" s="202"/>
      <c r="F4" s="202"/>
      <c r="G4" s="202"/>
      <c r="H4" s="202"/>
      <c r="I4" s="202"/>
      <c r="J4" s="202"/>
      <c r="K4" s="202"/>
      <c r="L4" s="202"/>
    </row>
    <row r="5" spans="1:12" ht="150.75" customHeight="1">
      <c r="A5" s="97">
        <v>3</v>
      </c>
      <c r="B5" s="91" t="s">
        <v>121</v>
      </c>
      <c r="C5" s="159" t="s">
        <v>283</v>
      </c>
      <c r="D5" s="209" t="s">
        <v>284</v>
      </c>
      <c r="E5" s="210"/>
      <c r="F5" s="210"/>
      <c r="G5" s="210"/>
      <c r="H5" s="210"/>
      <c r="I5" s="210"/>
      <c r="J5" s="210"/>
      <c r="K5" s="210"/>
      <c r="L5" s="210"/>
    </row>
    <row r="6" spans="1:12" ht="32.25" customHeight="1">
      <c r="A6" s="203" t="s">
        <v>323</v>
      </c>
      <c r="B6" s="204"/>
      <c r="C6" s="204"/>
      <c r="D6" s="204"/>
      <c r="E6" s="204"/>
      <c r="F6" s="204"/>
      <c r="G6" s="204"/>
      <c r="H6" s="204"/>
      <c r="I6" s="204"/>
      <c r="J6" s="204"/>
      <c r="K6" s="204"/>
      <c r="L6" s="205"/>
    </row>
    <row r="7" spans="1:12" ht="150.75" customHeight="1">
      <c r="A7" s="196">
        <v>3</v>
      </c>
      <c r="B7" s="198" t="s">
        <v>121</v>
      </c>
      <c r="C7" s="200" t="s">
        <v>372</v>
      </c>
      <c r="D7" s="201" t="s">
        <v>373</v>
      </c>
      <c r="E7" s="202"/>
      <c r="F7" s="202"/>
      <c r="G7" s="202"/>
      <c r="H7" s="202"/>
      <c r="I7" s="202"/>
      <c r="J7" s="202"/>
      <c r="K7" s="202"/>
      <c r="L7" s="202"/>
    </row>
    <row r="8" spans="1:12" ht="150.75" customHeight="1">
      <c r="A8" s="197"/>
      <c r="B8" s="199"/>
      <c r="C8" s="199"/>
      <c r="D8" s="201" t="s">
        <v>374</v>
      </c>
      <c r="E8" s="202"/>
      <c r="F8" s="202"/>
      <c r="G8" s="202"/>
      <c r="H8" s="202"/>
      <c r="I8" s="202"/>
      <c r="J8" s="202"/>
      <c r="K8" s="202"/>
      <c r="L8" s="202"/>
    </row>
    <row r="9" spans="1:12" ht="150.75" customHeight="1">
      <c r="A9" s="196">
        <v>4</v>
      </c>
      <c r="B9" s="198" t="s">
        <v>121</v>
      </c>
      <c r="C9" s="200" t="s">
        <v>427</v>
      </c>
      <c r="D9" s="201" t="s">
        <v>425</v>
      </c>
      <c r="E9" s="202"/>
      <c r="F9" s="202"/>
      <c r="G9" s="202"/>
      <c r="H9" s="202"/>
      <c r="I9" s="202"/>
      <c r="J9" s="202"/>
      <c r="K9" s="202"/>
      <c r="L9" s="202"/>
    </row>
    <row r="10" spans="1:12" ht="150.75" customHeight="1">
      <c r="A10" s="197"/>
      <c r="B10" s="199"/>
      <c r="C10" s="199"/>
      <c r="D10" s="201" t="s">
        <v>426</v>
      </c>
      <c r="E10" s="202"/>
      <c r="F10" s="202"/>
      <c r="G10" s="202"/>
      <c r="H10" s="202"/>
      <c r="I10" s="202"/>
      <c r="J10" s="202"/>
      <c r="K10" s="202"/>
      <c r="L10" s="202"/>
    </row>
    <row r="11" spans="1:12" ht="196.5" customHeight="1">
      <c r="A11" s="191">
        <v>5</v>
      </c>
      <c r="B11" s="184" t="s">
        <v>506</v>
      </c>
      <c r="C11" s="183" t="s">
        <v>505</v>
      </c>
      <c r="D11" s="194" t="s">
        <v>507</v>
      </c>
      <c r="E11" s="195"/>
      <c r="F11" s="195"/>
      <c r="G11" s="195"/>
      <c r="H11" s="195"/>
      <c r="I11" s="195"/>
      <c r="J11" s="195"/>
      <c r="K11" s="195"/>
      <c r="L11" s="195"/>
    </row>
  </sheetData>
  <mergeCells count="17">
    <mergeCell ref="D8:L8"/>
    <mergeCell ref="A7:A8"/>
    <mergeCell ref="B7:B8"/>
    <mergeCell ref="C7:C8"/>
    <mergeCell ref="D7:L7"/>
    <mergeCell ref="A6:L6"/>
    <mergeCell ref="D1:L1"/>
    <mergeCell ref="D2:L2"/>
    <mergeCell ref="D3:L3"/>
    <mergeCell ref="D4:L4"/>
    <mergeCell ref="D5:L5"/>
    <mergeCell ref="D11:L11"/>
    <mergeCell ref="A9:A10"/>
    <mergeCell ref="B9:B10"/>
    <mergeCell ref="C9:C10"/>
    <mergeCell ref="D9:L9"/>
    <mergeCell ref="D10:L10"/>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dimension ref="A1:D163"/>
  <sheetViews>
    <sheetView topLeftCell="A88" workbookViewId="0">
      <selection sqref="A1:A117"/>
    </sheetView>
  </sheetViews>
  <sheetFormatPr defaultRowHeight="13.5"/>
  <cols>
    <col min="1" max="1" width="16.125" bestFit="1" customWidth="1"/>
    <col min="4" max="4" width="12.125" style="27" customWidth="1"/>
  </cols>
  <sheetData>
    <row r="1" spans="1:4" ht="14.25" thickBot="1">
      <c r="D1" s="21" t="s">
        <v>77</v>
      </c>
    </row>
    <row r="2" spans="1:4">
      <c r="A2" s="193">
        <v>42373.416666666664</v>
      </c>
      <c r="D2" s="180"/>
    </row>
    <row r="3" spans="1:4">
      <c r="A3" s="193">
        <v>42375.208333333336</v>
      </c>
      <c r="D3" s="150" t="s">
        <v>590</v>
      </c>
    </row>
    <row r="4" spans="1:4">
      <c r="A4" s="193">
        <v>42375.375</v>
      </c>
      <c r="D4" s="150" t="s">
        <v>591</v>
      </c>
    </row>
    <row r="5" spans="1:4">
      <c r="A5" s="193">
        <v>42375.416666666664</v>
      </c>
      <c r="D5" s="150" t="s">
        <v>514</v>
      </c>
    </row>
    <row r="6" spans="1:4">
      <c r="A6" s="193">
        <v>42376.208333333336</v>
      </c>
      <c r="D6" s="150" t="s">
        <v>515</v>
      </c>
    </row>
    <row r="7" spans="1:4">
      <c r="D7" s="150" t="s">
        <v>592</v>
      </c>
    </row>
    <row r="8" spans="1:4">
      <c r="D8" s="150"/>
    </row>
    <row r="9" spans="1:4">
      <c r="A9" s="193">
        <v>42380.666666666664</v>
      </c>
      <c r="D9" s="150"/>
    </row>
    <row r="10" spans="1:4">
      <c r="A10" s="193">
        <v>42381.583333333336</v>
      </c>
      <c r="D10" s="150" t="s">
        <v>593</v>
      </c>
    </row>
    <row r="11" spans="1:4">
      <c r="A11" s="193">
        <v>42381.875</v>
      </c>
      <c r="D11" s="150" t="s">
        <v>518</v>
      </c>
    </row>
    <row r="12" spans="1:4">
      <c r="A12" s="193">
        <v>42382.708333333336</v>
      </c>
      <c r="D12" s="150" t="s">
        <v>594</v>
      </c>
    </row>
    <row r="13" spans="1:4">
      <c r="A13" s="193">
        <v>42383.625</v>
      </c>
      <c r="D13" s="150" t="s">
        <v>595</v>
      </c>
    </row>
    <row r="14" spans="1:4">
      <c r="A14" s="193">
        <v>42383.333333333336</v>
      </c>
      <c r="D14" s="150" t="s">
        <v>596</v>
      </c>
    </row>
    <row r="15" spans="1:4">
      <c r="A15" s="193">
        <v>42384.125</v>
      </c>
      <c r="D15" s="150" t="s">
        <v>597</v>
      </c>
    </row>
    <row r="16" spans="1:4">
      <c r="D16" s="150" t="s">
        <v>598</v>
      </c>
    </row>
    <row r="17" spans="1:4">
      <c r="D17" s="150"/>
    </row>
    <row r="18" spans="1:4">
      <c r="A18" s="193">
        <v>42388.583333333336</v>
      </c>
      <c r="D18" s="150"/>
    </row>
    <row r="19" spans="1:4">
      <c r="A19" s="193">
        <v>42388.791666666664</v>
      </c>
      <c r="D19" s="150" t="s">
        <v>599</v>
      </c>
    </row>
    <row r="20" spans="1:4">
      <c r="A20" s="193">
        <v>42388.791666666664</v>
      </c>
      <c r="D20" s="150" t="s">
        <v>600</v>
      </c>
    </row>
    <row r="21" spans="1:4">
      <c r="A21" s="193">
        <v>42390.208333333336</v>
      </c>
      <c r="D21" s="150" t="s">
        <v>600</v>
      </c>
    </row>
    <row r="22" spans="1:4">
      <c r="D22" s="150" t="s">
        <v>525</v>
      </c>
    </row>
    <row r="23" spans="1:4">
      <c r="D23" s="150"/>
    </row>
    <row r="24" spans="1:4">
      <c r="A24" s="193">
        <v>42394.208333333336</v>
      </c>
      <c r="D24" s="150"/>
    </row>
    <row r="25" spans="1:4">
      <c r="A25" s="193">
        <v>42396.041666666664</v>
      </c>
      <c r="D25" s="150" t="s">
        <v>601</v>
      </c>
    </row>
    <row r="26" spans="1:4">
      <c r="A26" s="193">
        <v>42398.666666666664</v>
      </c>
      <c r="D26" s="150" t="s">
        <v>602</v>
      </c>
    </row>
    <row r="27" spans="1:4">
      <c r="D27" s="150" t="s">
        <v>603</v>
      </c>
    </row>
    <row r="28" spans="1:4">
      <c r="D28" s="150"/>
    </row>
    <row r="29" spans="1:4">
      <c r="D29" s="150"/>
    </row>
    <row r="30" spans="1:4">
      <c r="D30" s="150"/>
    </row>
    <row r="31" spans="1:4">
      <c r="A31" s="193">
        <v>42401.75</v>
      </c>
      <c r="D31" s="150"/>
    </row>
    <row r="32" spans="1:4">
      <c r="A32" s="193">
        <v>42402.416666666664</v>
      </c>
      <c r="D32" s="150" t="s">
        <v>604</v>
      </c>
    </row>
    <row r="33" spans="1:4">
      <c r="A33" s="193">
        <v>42403.583333333336</v>
      </c>
      <c r="D33" s="150" t="s">
        <v>605</v>
      </c>
    </row>
    <row r="34" spans="1:4">
      <c r="A34" s="193">
        <v>42404.5</v>
      </c>
      <c r="D34" s="150" t="s">
        <v>606</v>
      </c>
    </row>
    <row r="35" spans="1:4">
      <c r="A35" s="193">
        <v>42404.666666666664</v>
      </c>
      <c r="D35" s="150" t="s">
        <v>607</v>
      </c>
    </row>
    <row r="36" spans="1:4">
      <c r="A36" s="193">
        <v>42405.625</v>
      </c>
      <c r="D36" s="150" t="s">
        <v>608</v>
      </c>
    </row>
    <row r="37" spans="1:4">
      <c r="D37" s="150" t="s">
        <v>609</v>
      </c>
    </row>
    <row r="38" spans="1:4">
      <c r="D38" s="150"/>
    </row>
    <row r="39" spans="1:4">
      <c r="A39" s="193">
        <v>42408.5</v>
      </c>
      <c r="D39" s="150"/>
    </row>
    <row r="40" spans="1:4">
      <c r="A40" s="193">
        <v>42409.833333333336</v>
      </c>
      <c r="D40" s="150" t="s">
        <v>610</v>
      </c>
    </row>
    <row r="41" spans="1:4">
      <c r="A41" s="193">
        <v>42410</v>
      </c>
      <c r="D41" s="150" t="s">
        <v>611</v>
      </c>
    </row>
    <row r="42" spans="1:4">
      <c r="A42" s="193">
        <v>42412.5</v>
      </c>
      <c r="D42" s="150" t="s">
        <v>537</v>
      </c>
    </row>
    <row r="43" spans="1:4">
      <c r="D43" s="150" t="s">
        <v>612</v>
      </c>
    </row>
    <row r="44" spans="1:4">
      <c r="D44" s="150"/>
    </row>
    <row r="45" spans="1:4">
      <c r="A45" s="193">
        <v>42416.5</v>
      </c>
      <c r="D45" s="150"/>
    </row>
    <row r="46" spans="1:4">
      <c r="A46" s="193">
        <v>42416.708333333336</v>
      </c>
      <c r="D46" s="150" t="s">
        <v>613</v>
      </c>
    </row>
    <row r="47" spans="1:4">
      <c r="A47" s="193">
        <v>42417.666666666664</v>
      </c>
      <c r="D47" s="150" t="s">
        <v>614</v>
      </c>
    </row>
    <row r="48" spans="1:4">
      <c r="A48" s="193">
        <v>42419.791666666664</v>
      </c>
      <c r="D48" s="150" t="s">
        <v>615</v>
      </c>
    </row>
    <row r="49" spans="1:4">
      <c r="D49" s="150" t="s">
        <v>616</v>
      </c>
    </row>
    <row r="50" spans="1:4">
      <c r="D50" s="150"/>
    </row>
    <row r="51" spans="1:4">
      <c r="A51" s="193">
        <v>42424.416666666664</v>
      </c>
      <c r="D51" s="150"/>
    </row>
    <row r="52" spans="1:4">
      <c r="A52" s="193">
        <v>42425.583333333336</v>
      </c>
      <c r="D52" s="150" t="s">
        <v>617</v>
      </c>
    </row>
    <row r="53" spans="1:4">
      <c r="A53" s="193">
        <v>42425.416666666664</v>
      </c>
      <c r="D53" s="150" t="s">
        <v>618</v>
      </c>
    </row>
    <row r="54" spans="1:4">
      <c r="A54" s="193">
        <v>42425.416666666664</v>
      </c>
      <c r="D54" s="150" t="s">
        <v>619</v>
      </c>
    </row>
    <row r="55" spans="1:4">
      <c r="A55" s="193">
        <v>42426.25</v>
      </c>
      <c r="D55" s="150" t="s">
        <v>619</v>
      </c>
    </row>
    <row r="56" spans="1:4">
      <c r="A56" s="193">
        <v>42426.5</v>
      </c>
      <c r="D56" s="150" t="s">
        <v>620</v>
      </c>
    </row>
    <row r="57" spans="1:4">
      <c r="A57" s="193">
        <v>42430.708333333336</v>
      </c>
      <c r="D57" s="150" t="s">
        <v>621</v>
      </c>
    </row>
    <row r="58" spans="1:4">
      <c r="D58" s="150" t="s">
        <v>622</v>
      </c>
    </row>
    <row r="59" spans="1:4">
      <c r="D59" s="150"/>
    </row>
    <row r="60" spans="1:4">
      <c r="D60" s="150"/>
    </row>
    <row r="61" spans="1:4">
      <c r="A61" s="193">
        <v>42431.291666666664</v>
      </c>
      <c r="D61" s="150"/>
    </row>
    <row r="62" spans="1:4">
      <c r="A62" s="193">
        <v>42445.708333333336</v>
      </c>
      <c r="D62" s="150" t="s">
        <v>623</v>
      </c>
    </row>
    <row r="63" spans="1:4">
      <c r="A63" s="193">
        <v>42433.583333333336</v>
      </c>
      <c r="D63" s="150" t="s">
        <v>563</v>
      </c>
    </row>
    <row r="64" spans="1:4">
      <c r="D64" s="150" t="s">
        <v>624</v>
      </c>
    </row>
    <row r="65" spans="1:4">
      <c r="D65" s="150"/>
    </row>
    <row r="66" spans="1:4">
      <c r="A66" s="193">
        <v>42437.125</v>
      </c>
      <c r="D66" s="150"/>
    </row>
    <row r="67" spans="1:4">
      <c r="A67" s="193">
        <v>42437.791666666664</v>
      </c>
      <c r="D67" s="150" t="s">
        <v>625</v>
      </c>
    </row>
    <row r="68" spans="1:4">
      <c r="A68" s="193">
        <v>42438.708333333336</v>
      </c>
      <c r="D68" s="150" t="s">
        <v>626</v>
      </c>
    </row>
    <row r="69" spans="1:4">
      <c r="A69" s="193">
        <v>42438.708333333336</v>
      </c>
      <c r="D69" s="150" t="s">
        <v>627</v>
      </c>
    </row>
    <row r="70" spans="1:4">
      <c r="A70" s="193">
        <v>42443.416666666664</v>
      </c>
      <c r="D70" s="150" t="s">
        <v>627</v>
      </c>
    </row>
    <row r="71" spans="1:4">
      <c r="D71" s="150" t="s">
        <v>628</v>
      </c>
    </row>
    <row r="72" spans="1:4">
      <c r="D72" s="150"/>
    </row>
    <row r="73" spans="1:4">
      <c r="A73" s="193">
        <v>42443.583333333336</v>
      </c>
      <c r="D73" s="150"/>
    </row>
    <row r="74" spans="1:4">
      <c r="A74" s="193">
        <v>42444.041666666664</v>
      </c>
      <c r="D74" s="150" t="s">
        <v>629</v>
      </c>
    </row>
    <row r="75" spans="1:4">
      <c r="A75" s="193">
        <v>42446.25</v>
      </c>
      <c r="D75" s="150" t="s">
        <v>630</v>
      </c>
    </row>
    <row r="76" spans="1:4">
      <c r="A76" s="193">
        <v>42445.291666666664</v>
      </c>
      <c r="D76" s="150" t="s">
        <v>631</v>
      </c>
    </row>
    <row r="77" spans="1:4">
      <c r="A77" s="193">
        <v>42447.083333333336</v>
      </c>
      <c r="D77" s="150" t="s">
        <v>632</v>
      </c>
    </row>
    <row r="78" spans="1:4">
      <c r="D78" s="150" t="s">
        <v>633</v>
      </c>
    </row>
    <row r="79" spans="1:4">
      <c r="A79" s="193">
        <v>42447.375</v>
      </c>
      <c r="D79" s="150"/>
    </row>
    <row r="80" spans="1:4">
      <c r="D80" s="150" t="s">
        <v>634</v>
      </c>
    </row>
    <row r="81" spans="1:4">
      <c r="A81" s="193">
        <v>42450.625</v>
      </c>
      <c r="D81" s="150"/>
    </row>
    <row r="82" spans="1:4">
      <c r="A82" s="193">
        <v>42451.083333333336</v>
      </c>
      <c r="D82" s="150" t="s">
        <v>565</v>
      </c>
    </row>
    <row r="83" spans="1:4">
      <c r="A83" s="193">
        <v>42451.75</v>
      </c>
      <c r="D83" s="150" t="s">
        <v>635</v>
      </c>
    </row>
    <row r="84" spans="1:4">
      <c r="A84" s="193">
        <v>42453.625</v>
      </c>
      <c r="D84" s="150" t="s">
        <v>636</v>
      </c>
    </row>
    <row r="85" spans="1:4">
      <c r="A85" s="193">
        <v>42457.708333333336</v>
      </c>
      <c r="D85" s="150" t="s">
        <v>637</v>
      </c>
    </row>
    <row r="86" spans="1:4">
      <c r="A86" s="193">
        <v>42458.125</v>
      </c>
      <c r="D86" s="150" t="s">
        <v>638</v>
      </c>
    </row>
    <row r="87" spans="1:4">
      <c r="A87" s="193">
        <v>42458.333333333336</v>
      </c>
      <c r="D87" s="150" t="s">
        <v>639</v>
      </c>
    </row>
    <row r="88" spans="1:4">
      <c r="A88" s="193">
        <v>42458.791666666664</v>
      </c>
      <c r="D88" s="150" t="s">
        <v>640</v>
      </c>
    </row>
    <row r="89" spans="1:4">
      <c r="A89" s="193">
        <v>42459.541666666664</v>
      </c>
      <c r="D89" s="150" t="s">
        <v>641</v>
      </c>
    </row>
    <row r="90" spans="1:4">
      <c r="A90" s="193">
        <v>42460.125</v>
      </c>
      <c r="D90" s="150" t="s">
        <v>642</v>
      </c>
    </row>
    <row r="91" spans="1:4">
      <c r="A91" s="193">
        <v>42461.375</v>
      </c>
      <c r="D91" s="150" t="s">
        <v>643</v>
      </c>
    </row>
    <row r="92" spans="1:4">
      <c r="D92" s="150" t="s">
        <v>644</v>
      </c>
    </row>
    <row r="93" spans="1:4">
      <c r="D93" s="150"/>
    </row>
    <row r="94" spans="1:4">
      <c r="D94" s="150"/>
    </row>
    <row r="95" spans="1:4">
      <c r="A95" s="193">
        <v>42461.625</v>
      </c>
      <c r="D95" s="150"/>
    </row>
    <row r="96" spans="1:4">
      <c r="A96" s="193">
        <v>42464.541666666664</v>
      </c>
      <c r="D96" s="192" t="s">
        <v>645</v>
      </c>
    </row>
    <row r="97" spans="1:4">
      <c r="A97" s="193">
        <v>42475.75</v>
      </c>
      <c r="D97" s="192" t="s">
        <v>646</v>
      </c>
    </row>
    <row r="98" spans="1:4">
      <c r="A98" s="193">
        <v>42466.625</v>
      </c>
      <c r="D98" s="192" t="s">
        <v>647</v>
      </c>
    </row>
    <row r="99" spans="1:4">
      <c r="A99" s="193">
        <v>42466.666666666664</v>
      </c>
      <c r="D99" s="192" t="s">
        <v>648</v>
      </c>
    </row>
    <row r="100" spans="1:4">
      <c r="A100" s="193">
        <v>42471.458333333336</v>
      </c>
      <c r="D100" s="192" t="s">
        <v>649</v>
      </c>
    </row>
    <row r="101" spans="1:4">
      <c r="A101" s="193">
        <v>42472.458333333336</v>
      </c>
      <c r="D101" s="192" t="s">
        <v>650</v>
      </c>
    </row>
    <row r="102" spans="1:4">
      <c r="A102" s="193">
        <v>42472.458333333336</v>
      </c>
      <c r="D102" s="192" t="s">
        <v>651</v>
      </c>
    </row>
    <row r="103" spans="1:4">
      <c r="A103" s="193">
        <v>42473.5</v>
      </c>
      <c r="D103" s="192" t="s">
        <v>651</v>
      </c>
    </row>
    <row r="104" spans="1:4">
      <c r="A104" s="193">
        <v>42474.458333333336</v>
      </c>
      <c r="D104" s="192" t="s">
        <v>652</v>
      </c>
    </row>
    <row r="105" spans="1:4">
      <c r="A105" s="193">
        <v>42474.25</v>
      </c>
      <c r="D105" s="192" t="s">
        <v>585</v>
      </c>
    </row>
    <row r="106" spans="1:4">
      <c r="A106" s="193">
        <v>42474.708333333336</v>
      </c>
      <c r="D106" s="192" t="s">
        <v>653</v>
      </c>
    </row>
    <row r="107" spans="1:4">
      <c r="A107" s="193">
        <v>42474.666666666664</v>
      </c>
      <c r="D107" s="192" t="s">
        <v>654</v>
      </c>
    </row>
    <row r="108" spans="1:4">
      <c r="A108" s="193">
        <v>42475.708333333336</v>
      </c>
      <c r="D108" s="192" t="s">
        <v>655</v>
      </c>
    </row>
    <row r="109" spans="1:4">
      <c r="A109" s="193">
        <v>42475.708333333336</v>
      </c>
      <c r="D109" s="192" t="s">
        <v>656</v>
      </c>
    </row>
    <row r="110" spans="1:4">
      <c r="A110" s="193">
        <v>42475.708333333336</v>
      </c>
      <c r="D110" s="192" t="s">
        <v>656</v>
      </c>
    </row>
    <row r="111" spans="1:4">
      <c r="D111" s="192" t="s">
        <v>656</v>
      </c>
    </row>
    <row r="112" spans="1:4">
      <c r="D112" s="150"/>
    </row>
    <row r="113" spans="1:4">
      <c r="A113" s="193">
        <v>42479.916666666664</v>
      </c>
      <c r="D113" s="150"/>
    </row>
    <row r="114" spans="1:4">
      <c r="A114" s="193">
        <v>42479.916666666664</v>
      </c>
      <c r="D114" s="150" t="s">
        <v>664</v>
      </c>
    </row>
    <row r="115" spans="1:4">
      <c r="A115" s="193">
        <v>42480.458333333336</v>
      </c>
      <c r="D115" s="150" t="s">
        <v>664</v>
      </c>
    </row>
    <row r="116" spans="1:4">
      <c r="A116" s="193">
        <v>42480.333333333336</v>
      </c>
      <c r="D116" s="150" t="s">
        <v>665</v>
      </c>
    </row>
    <row r="117" spans="1:4">
      <c r="A117" s="193">
        <v>42481.583333333336</v>
      </c>
      <c r="D117" s="150" t="s">
        <v>666</v>
      </c>
    </row>
    <row r="118" spans="1:4">
      <c r="D118" s="150" t="s">
        <v>667</v>
      </c>
    </row>
    <row r="119" spans="1:4">
      <c r="D119" s="150"/>
    </row>
    <row r="120" spans="1:4">
      <c r="D120" s="150"/>
    </row>
    <row r="121" spans="1:4">
      <c r="D121" s="150"/>
    </row>
    <row r="122" spans="1:4">
      <c r="D122" s="150"/>
    </row>
    <row r="123" spans="1:4">
      <c r="D123" s="150"/>
    </row>
    <row r="124" spans="1:4">
      <c r="D124" s="150"/>
    </row>
    <row r="125" spans="1:4">
      <c r="D125" s="150"/>
    </row>
    <row r="126" spans="1:4">
      <c r="D126" s="150"/>
    </row>
    <row r="127" spans="1:4">
      <c r="D127" s="150"/>
    </row>
    <row r="128" spans="1:4">
      <c r="D128" s="150"/>
    </row>
    <row r="129" spans="4:4">
      <c r="D129" s="150"/>
    </row>
    <row r="130" spans="4:4">
      <c r="D130" s="150"/>
    </row>
    <row r="131" spans="4:4">
      <c r="D131" s="150"/>
    </row>
    <row r="134" spans="4:4">
      <c r="D134" s="34"/>
    </row>
    <row r="135" spans="4:4">
      <c r="D135" s="40"/>
    </row>
    <row r="136" spans="4:4">
      <c r="D136" s="32"/>
    </row>
    <row r="137" spans="4:4">
      <c r="D137" s="40"/>
    </row>
    <row r="138" spans="4:4">
      <c r="D138" s="40"/>
    </row>
    <row r="139" spans="4:4">
      <c r="D139" s="40"/>
    </row>
    <row r="140" spans="4:4">
      <c r="D140" s="40"/>
    </row>
    <row r="141" spans="4:4">
      <c r="D141" s="40"/>
    </row>
    <row r="142" spans="4:4">
      <c r="D142" s="40"/>
    </row>
    <row r="143" spans="4:4">
      <c r="D143" s="40"/>
    </row>
    <row r="144" spans="4:4">
      <c r="D144" s="40"/>
    </row>
    <row r="145" spans="4:4">
      <c r="D145" s="40"/>
    </row>
    <row r="146" spans="4:4">
      <c r="D146" s="40"/>
    </row>
    <row r="147" spans="4:4">
      <c r="D147" s="40"/>
    </row>
    <row r="148" spans="4:4">
      <c r="D148" s="40"/>
    </row>
    <row r="149" spans="4:4">
      <c r="D149" s="40"/>
    </row>
    <row r="150" spans="4:4">
      <c r="D150" s="40"/>
    </row>
    <row r="151" spans="4:4">
      <c r="D151" s="40"/>
    </row>
    <row r="152" spans="4:4">
      <c r="D152" s="40"/>
    </row>
    <row r="153" spans="4:4">
      <c r="D153" s="40"/>
    </row>
    <row r="154" spans="4:4">
      <c r="D154" s="40"/>
    </row>
    <row r="156" spans="4:4" ht="14.25" thickBot="1"/>
    <row r="157" spans="4:4" ht="14.25" thickBot="1">
      <c r="D157" s="70" t="s">
        <v>91</v>
      </c>
    </row>
    <row r="158" spans="4:4">
      <c r="D158" s="74">
        <v>0</v>
      </c>
    </row>
    <row r="159" spans="4:4">
      <c r="D159" s="77">
        <v>0</v>
      </c>
    </row>
    <row r="160" spans="4:4">
      <c r="D160" s="77">
        <v>0</v>
      </c>
    </row>
    <row r="161" spans="4:4">
      <c r="D161" s="77">
        <v>0</v>
      </c>
    </row>
    <row r="162" spans="4:4">
      <c r="D162" s="81">
        <v>0</v>
      </c>
    </row>
    <row r="163" spans="4:4">
      <c r="D163" s="77"/>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tabColor rgb="FFFFC000"/>
  </sheetPr>
  <dimension ref="A1:S161"/>
  <sheetViews>
    <sheetView tabSelected="1" zoomScaleSheetLayoutView="100" workbookViewId="0">
      <pane ySplit="1" topLeftCell="A96" activePane="bottomLeft" state="frozen"/>
      <selection pane="bottomLeft" activeCell="A124" sqref="A124"/>
    </sheetView>
  </sheetViews>
  <sheetFormatPr defaultColWidth="10" defaultRowHeight="13.5" customHeight="1"/>
  <cols>
    <col min="1" max="1" width="4.375" customWidth="1"/>
    <col min="2" max="2" width="11.625" style="2" customWidth="1"/>
    <col min="3" max="3" width="5.375" style="93" customWidth="1"/>
    <col min="4" max="4" width="6.75" customWidth="1"/>
    <col min="5" max="5" width="11.5" style="28" customWidth="1"/>
    <col min="6" max="6" width="4.25" customWidth="1"/>
    <col min="7" max="7" width="14.625" style="26" customWidth="1"/>
    <col min="8" max="8" width="12.5" customWidth="1"/>
    <col min="9" max="9" width="5.5" customWidth="1"/>
    <col min="10" max="10" width="16.125" style="27" bestFit="1" customWidth="1"/>
    <col min="11" max="11" width="11.25" customWidth="1"/>
    <col min="12" max="12" width="10.875" style="28" customWidth="1"/>
    <col min="13" max="13" width="6.125" customWidth="1"/>
    <col min="14" max="15" width="8.125" style="29" customWidth="1"/>
    <col min="16" max="16" width="9.375" customWidth="1"/>
    <col min="17" max="17" width="10.25" style="31" customWidth="1"/>
    <col min="18" max="18" width="11.625" hidden="1" customWidth="1"/>
    <col min="19" max="19" width="10" style="186"/>
  </cols>
  <sheetData>
    <row r="1" spans="1:19" ht="14.25" thickBot="1">
      <c r="A1" s="17" t="s">
        <v>68</v>
      </c>
      <c r="B1" s="18" t="s">
        <v>69</v>
      </c>
      <c r="C1" s="168"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9">
      <c r="A2" s="178" t="s">
        <v>429</v>
      </c>
      <c r="B2" s="179"/>
      <c r="C2" s="170"/>
      <c r="D2" s="39"/>
      <c r="E2" s="164"/>
      <c r="F2" s="39"/>
      <c r="G2" s="171"/>
      <c r="H2" s="39"/>
      <c r="I2" s="39"/>
      <c r="J2"/>
      <c r="K2" s="39"/>
      <c r="L2" s="164"/>
      <c r="M2" s="39"/>
      <c r="N2" s="165"/>
      <c r="O2" s="165"/>
      <c r="P2" s="39"/>
      <c r="Q2" s="181"/>
    </row>
    <row r="3" spans="1:19" s="3" customFormat="1">
      <c r="A3" s="95">
        <v>1</v>
      </c>
      <c r="B3" s="166" t="s">
        <v>324</v>
      </c>
      <c r="C3" s="169" t="s">
        <v>86</v>
      </c>
      <c r="D3" s="170">
        <v>0.3</v>
      </c>
      <c r="E3" s="164"/>
      <c r="F3" s="39"/>
      <c r="G3" s="171" t="s">
        <v>512</v>
      </c>
      <c r="H3" s="170">
        <v>1.0075099999999999</v>
      </c>
      <c r="I3" s="39"/>
      <c r="J3" s="193">
        <v>42373.416666666664</v>
      </c>
      <c r="K3" s="170">
        <v>1.00654</v>
      </c>
      <c r="L3" s="164"/>
      <c r="M3" s="167" t="s">
        <v>331</v>
      </c>
      <c r="N3" s="173">
        <v>9.6999999999999993</v>
      </c>
      <c r="O3" s="165"/>
      <c r="P3" s="170">
        <v>2489</v>
      </c>
      <c r="Q3" s="94">
        <v>502489</v>
      </c>
      <c r="S3" s="187"/>
    </row>
    <row r="4" spans="1:19">
      <c r="A4">
        <v>2</v>
      </c>
      <c r="B4" s="2" t="s">
        <v>85</v>
      </c>
      <c r="C4" s="93" t="s">
        <v>315</v>
      </c>
      <c r="D4">
        <v>0.5</v>
      </c>
      <c r="G4" s="26" t="s">
        <v>513</v>
      </c>
      <c r="H4">
        <v>0.73334999999999995</v>
      </c>
      <c r="J4" s="193">
        <v>42375.208333333336</v>
      </c>
      <c r="K4">
        <v>0.73336999999999997</v>
      </c>
      <c r="M4" s="163" t="s">
        <v>332</v>
      </c>
      <c r="O4" s="30">
        <v>-0.2</v>
      </c>
      <c r="P4">
        <v>-174</v>
      </c>
      <c r="Q4" s="162">
        <f t="shared" ref="Q4:Q43" si="0">Q3+P4</f>
        <v>502315</v>
      </c>
      <c r="R4" s="96"/>
    </row>
    <row r="5" spans="1:19">
      <c r="A5">
        <v>3</v>
      </c>
      <c r="B5" s="2" t="s">
        <v>325</v>
      </c>
      <c r="C5" s="93" t="s">
        <v>327</v>
      </c>
      <c r="D5">
        <v>0.5</v>
      </c>
      <c r="G5" s="26" t="s">
        <v>514</v>
      </c>
      <c r="H5">
        <v>0.71092999999999995</v>
      </c>
      <c r="J5" s="193">
        <v>42375.375</v>
      </c>
      <c r="K5">
        <v>0.70923000000000003</v>
      </c>
      <c r="M5" s="163" t="s">
        <v>333</v>
      </c>
      <c r="O5" s="30">
        <v>-17</v>
      </c>
      <c r="P5">
        <v>-10079</v>
      </c>
      <c r="Q5" s="162">
        <f t="shared" si="0"/>
        <v>492236</v>
      </c>
      <c r="R5" s="96"/>
    </row>
    <row r="6" spans="1:19">
      <c r="A6">
        <v>4</v>
      </c>
      <c r="B6" s="2" t="s">
        <v>326</v>
      </c>
      <c r="C6" s="93" t="s">
        <v>86</v>
      </c>
      <c r="D6">
        <v>0.3</v>
      </c>
      <c r="G6" s="26" t="s">
        <v>515</v>
      </c>
      <c r="H6">
        <v>1.07318</v>
      </c>
      <c r="J6" s="193">
        <v>42375.416666666664</v>
      </c>
      <c r="K6">
        <v>1.0731900000000001</v>
      </c>
      <c r="M6" s="17" t="s">
        <v>332</v>
      </c>
      <c r="O6" s="30">
        <v>-0.1</v>
      </c>
      <c r="P6">
        <v>-35</v>
      </c>
      <c r="Q6" s="162">
        <f t="shared" si="0"/>
        <v>492201</v>
      </c>
      <c r="R6" s="96"/>
    </row>
    <row r="7" spans="1:19">
      <c r="A7">
        <v>5</v>
      </c>
      <c r="B7" s="2" t="s">
        <v>335</v>
      </c>
      <c r="C7" s="93" t="s">
        <v>336</v>
      </c>
      <c r="D7">
        <v>0.5</v>
      </c>
      <c r="G7" s="171" t="s">
        <v>512</v>
      </c>
      <c r="H7">
        <v>1.4095599999999999</v>
      </c>
      <c r="J7" s="193">
        <v>42376.208333333336</v>
      </c>
      <c r="K7">
        <v>1.41107</v>
      </c>
      <c r="M7" s="172" t="s">
        <v>333</v>
      </c>
      <c r="O7" s="30">
        <v>-15.1</v>
      </c>
      <c r="P7">
        <v>-6322</v>
      </c>
      <c r="Q7" s="162">
        <f t="shared" si="0"/>
        <v>485879</v>
      </c>
      <c r="R7" s="96"/>
    </row>
    <row r="8" spans="1:19">
      <c r="J8"/>
      <c r="M8" s="172"/>
      <c r="O8" s="30"/>
      <c r="P8" s="99">
        <f>SUM(P3:P7)</f>
        <v>-14121</v>
      </c>
      <c r="Q8" s="162"/>
      <c r="R8" s="96"/>
    </row>
    <row r="9" spans="1:19">
      <c r="J9"/>
      <c r="M9" s="172"/>
      <c r="O9" s="30"/>
      <c r="Q9" s="162"/>
      <c r="R9" s="96"/>
    </row>
    <row r="10" spans="1:19">
      <c r="A10">
        <v>6</v>
      </c>
      <c r="B10" s="2" t="s">
        <v>343</v>
      </c>
      <c r="C10" s="93" t="s">
        <v>86</v>
      </c>
      <c r="D10">
        <v>0.5</v>
      </c>
      <c r="G10" s="26" t="s">
        <v>516</v>
      </c>
      <c r="H10">
        <v>0.65646000000000004</v>
      </c>
      <c r="J10" s="193">
        <v>42380.666666666664</v>
      </c>
      <c r="K10">
        <v>0.65644999999999998</v>
      </c>
      <c r="M10" s="172" t="s">
        <v>332</v>
      </c>
      <c r="N10" s="29">
        <v>0.1</v>
      </c>
      <c r="O10" s="30"/>
      <c r="P10">
        <v>59</v>
      </c>
      <c r="Q10" s="162">
        <f>Q7+P10</f>
        <v>485938</v>
      </c>
      <c r="R10" s="96"/>
    </row>
    <row r="11" spans="1:19">
      <c r="A11">
        <v>7</v>
      </c>
      <c r="B11" s="2" t="s">
        <v>343</v>
      </c>
      <c r="C11" s="93" t="s">
        <v>86</v>
      </c>
      <c r="D11">
        <v>0.35</v>
      </c>
      <c r="G11" s="26" t="s">
        <v>517</v>
      </c>
      <c r="H11">
        <v>0.65510999999999997</v>
      </c>
      <c r="J11" s="193">
        <v>42381.583333333336</v>
      </c>
      <c r="K11">
        <v>0.65510000000000002</v>
      </c>
      <c r="M11" s="172" t="s">
        <v>332</v>
      </c>
      <c r="N11" s="29">
        <v>1</v>
      </c>
      <c r="O11" s="30"/>
      <c r="P11">
        <v>42</v>
      </c>
      <c r="Q11" s="162">
        <f t="shared" si="0"/>
        <v>485980</v>
      </c>
      <c r="R11" s="96"/>
    </row>
    <row r="12" spans="1:19">
      <c r="A12">
        <v>8</v>
      </c>
      <c r="B12" s="2" t="s">
        <v>346</v>
      </c>
      <c r="C12" s="93" t="s">
        <v>86</v>
      </c>
      <c r="D12">
        <v>0.11</v>
      </c>
      <c r="G12" s="26" t="s">
        <v>518</v>
      </c>
      <c r="H12">
        <v>1.54928</v>
      </c>
      <c r="J12" s="193">
        <v>42381.875</v>
      </c>
      <c r="K12">
        <v>1.5575300000000001</v>
      </c>
      <c r="M12" s="172" t="s">
        <v>333</v>
      </c>
      <c r="O12" s="30">
        <v>-82.5</v>
      </c>
      <c r="P12">
        <v>-7439</v>
      </c>
      <c r="Q12" s="162">
        <f t="shared" si="0"/>
        <v>478541</v>
      </c>
      <c r="R12" s="96"/>
    </row>
    <row r="13" spans="1:19">
      <c r="A13">
        <v>9</v>
      </c>
      <c r="B13" s="2" t="s">
        <v>346</v>
      </c>
      <c r="C13" s="93" t="s">
        <v>86</v>
      </c>
      <c r="D13">
        <v>0.11</v>
      </c>
      <c r="G13" s="26" t="s">
        <v>519</v>
      </c>
      <c r="H13">
        <v>1.5511299999999999</v>
      </c>
      <c r="J13" s="193">
        <v>42382.708333333336</v>
      </c>
      <c r="K13">
        <v>1.55115</v>
      </c>
      <c r="M13" s="172" t="s">
        <v>332</v>
      </c>
      <c r="O13" s="30">
        <v>-0.2</v>
      </c>
      <c r="P13">
        <v>-18</v>
      </c>
      <c r="Q13" s="162">
        <f t="shared" si="0"/>
        <v>478523</v>
      </c>
      <c r="R13" s="96"/>
    </row>
    <row r="14" spans="1:19">
      <c r="A14">
        <v>10</v>
      </c>
      <c r="B14" s="2" t="s">
        <v>347</v>
      </c>
      <c r="C14" s="93" t="s">
        <v>86</v>
      </c>
      <c r="D14">
        <v>0.2</v>
      </c>
      <c r="G14" s="26" t="s">
        <v>520</v>
      </c>
      <c r="H14">
        <v>1.0047299999999999</v>
      </c>
      <c r="J14" s="193">
        <v>42383.625</v>
      </c>
      <c r="K14">
        <v>1.00613</v>
      </c>
      <c r="M14" s="172" t="s">
        <v>333</v>
      </c>
      <c r="O14" s="30">
        <v>-14</v>
      </c>
      <c r="P14">
        <v>-3279</v>
      </c>
      <c r="Q14" s="162">
        <f t="shared" si="0"/>
        <v>475244</v>
      </c>
      <c r="R14" s="96"/>
    </row>
    <row r="15" spans="1:19">
      <c r="A15">
        <v>11</v>
      </c>
      <c r="B15" s="2" t="s">
        <v>347</v>
      </c>
      <c r="C15" s="93" t="s">
        <v>86</v>
      </c>
      <c r="D15">
        <v>0.1</v>
      </c>
      <c r="G15" s="26" t="s">
        <v>521</v>
      </c>
      <c r="H15">
        <v>1.00614</v>
      </c>
      <c r="J15" s="193">
        <v>42383.333333333336</v>
      </c>
      <c r="K15">
        <v>1.0080499999999999</v>
      </c>
      <c r="M15" s="172" t="s">
        <v>333</v>
      </c>
      <c r="O15" s="30">
        <v>-19.100000000000001</v>
      </c>
      <c r="P15">
        <v>-2232</v>
      </c>
      <c r="Q15" s="162">
        <f t="shared" si="0"/>
        <v>473012</v>
      </c>
      <c r="R15" s="96"/>
    </row>
    <row r="16" spans="1:19">
      <c r="A16">
        <v>12</v>
      </c>
      <c r="B16" s="2" t="s">
        <v>348</v>
      </c>
      <c r="C16" s="93" t="s">
        <v>349</v>
      </c>
      <c r="D16">
        <v>0.5</v>
      </c>
      <c r="G16" s="26" t="s">
        <v>522</v>
      </c>
      <c r="H16">
        <v>170.28899999999999</v>
      </c>
      <c r="J16" s="193">
        <v>42384.125</v>
      </c>
      <c r="K16">
        <v>169.93299999999999</v>
      </c>
      <c r="M16" s="172" t="s">
        <v>333</v>
      </c>
      <c r="O16" s="30">
        <v>-35.6</v>
      </c>
      <c r="P16">
        <v>-17800</v>
      </c>
      <c r="Q16" s="162">
        <f t="shared" si="0"/>
        <v>455212</v>
      </c>
      <c r="R16" s="96"/>
    </row>
    <row r="17" spans="1:18">
      <c r="J17"/>
      <c r="M17" s="172"/>
      <c r="O17" s="30"/>
      <c r="P17" s="99">
        <f>SUM(P10:P16)</f>
        <v>-30667</v>
      </c>
      <c r="Q17" s="162"/>
      <c r="R17" s="96"/>
    </row>
    <row r="18" spans="1:18">
      <c r="J18"/>
      <c r="M18" s="172"/>
      <c r="O18" s="30"/>
      <c r="Q18" s="162"/>
      <c r="R18" s="96"/>
    </row>
    <row r="19" spans="1:18">
      <c r="A19">
        <v>13</v>
      </c>
      <c r="B19" s="2" t="s">
        <v>356</v>
      </c>
      <c r="C19" s="93" t="s">
        <v>86</v>
      </c>
      <c r="D19">
        <v>0.1</v>
      </c>
      <c r="G19" s="26" t="s">
        <v>523</v>
      </c>
      <c r="H19">
        <v>0.75914000000000004</v>
      </c>
      <c r="J19" s="193">
        <v>42388.583333333336</v>
      </c>
      <c r="K19">
        <v>0.76207000000000003</v>
      </c>
      <c r="M19" s="172" t="s">
        <v>359</v>
      </c>
      <c r="O19" s="30">
        <v>-29.3</v>
      </c>
      <c r="P19">
        <v>-4933</v>
      </c>
      <c r="Q19" s="162">
        <f>Q16+P19</f>
        <v>450279</v>
      </c>
      <c r="R19" s="96"/>
    </row>
    <row r="20" spans="1:18">
      <c r="A20">
        <v>14</v>
      </c>
      <c r="B20" s="2" t="s">
        <v>357</v>
      </c>
      <c r="C20" s="93" t="s">
        <v>327</v>
      </c>
      <c r="D20">
        <v>0.2</v>
      </c>
      <c r="G20" s="26" t="s">
        <v>524</v>
      </c>
      <c r="H20">
        <v>81.378</v>
      </c>
      <c r="J20" s="193">
        <v>42388.791666666664</v>
      </c>
      <c r="K20">
        <v>80.837000000000003</v>
      </c>
      <c r="M20" s="172" t="s">
        <v>359</v>
      </c>
      <c r="O20" s="30">
        <v>-54.1</v>
      </c>
      <c r="P20">
        <v>-10820</v>
      </c>
      <c r="Q20" s="162">
        <f t="shared" si="0"/>
        <v>439459</v>
      </c>
      <c r="R20" s="96"/>
    </row>
    <row r="21" spans="1:18">
      <c r="A21">
        <v>15</v>
      </c>
      <c r="B21" s="2" t="s">
        <v>357</v>
      </c>
      <c r="C21" s="93" t="s">
        <v>327</v>
      </c>
      <c r="D21">
        <v>0.2</v>
      </c>
      <c r="G21" s="26" t="s">
        <v>524</v>
      </c>
      <c r="H21">
        <v>81.283000000000001</v>
      </c>
      <c r="J21" s="193">
        <v>42388.791666666664</v>
      </c>
      <c r="K21">
        <v>80.837000000000003</v>
      </c>
      <c r="M21" s="172" t="s">
        <v>359</v>
      </c>
      <c r="O21" s="30">
        <v>-44.6</v>
      </c>
      <c r="P21">
        <v>-8920</v>
      </c>
      <c r="Q21" s="162">
        <f t="shared" si="0"/>
        <v>430539</v>
      </c>
      <c r="R21" s="96"/>
    </row>
    <row r="22" spans="1:18">
      <c r="A22">
        <v>16</v>
      </c>
      <c r="B22" s="2" t="s">
        <v>358</v>
      </c>
      <c r="C22" s="93" t="s">
        <v>86</v>
      </c>
      <c r="D22">
        <v>0.5</v>
      </c>
      <c r="G22" s="26" t="s">
        <v>525</v>
      </c>
      <c r="H22">
        <v>1.5678700000000001</v>
      </c>
      <c r="J22" s="193">
        <v>42390.208333333336</v>
      </c>
      <c r="K22">
        <v>1.57203</v>
      </c>
      <c r="M22" s="172" t="s">
        <v>359</v>
      </c>
      <c r="O22" s="30">
        <v>-41.6</v>
      </c>
      <c r="P22">
        <v>-16889</v>
      </c>
      <c r="Q22" s="162">
        <f t="shared" si="0"/>
        <v>413650</v>
      </c>
      <c r="R22" s="96"/>
    </row>
    <row r="23" spans="1:18">
      <c r="J23"/>
      <c r="O23" s="30"/>
      <c r="P23" s="99">
        <f>SUM(P19:P22)</f>
        <v>-41562</v>
      </c>
      <c r="R23" s="96"/>
    </row>
    <row r="24" spans="1:18">
      <c r="J24"/>
      <c r="O24" s="30"/>
      <c r="R24" s="96"/>
    </row>
    <row r="25" spans="1:18">
      <c r="A25">
        <v>17</v>
      </c>
      <c r="B25" s="2" t="s">
        <v>363</v>
      </c>
      <c r="C25" s="93" t="s">
        <v>366</v>
      </c>
      <c r="D25">
        <v>0.5</v>
      </c>
      <c r="G25" s="26" t="s">
        <v>526</v>
      </c>
      <c r="H25">
        <v>0.69955999999999996</v>
      </c>
      <c r="J25" s="193">
        <v>42394.208333333336</v>
      </c>
      <c r="K25">
        <v>0.70152999999999999</v>
      </c>
      <c r="M25" s="172" t="s">
        <v>368</v>
      </c>
      <c r="O25" s="30">
        <v>-19.7</v>
      </c>
      <c r="P25">
        <v>-11693</v>
      </c>
      <c r="Q25" s="162">
        <f>Q22+P25</f>
        <v>401957</v>
      </c>
      <c r="R25" s="96"/>
    </row>
    <row r="26" spans="1:18">
      <c r="A26">
        <v>18</v>
      </c>
      <c r="B26" s="2" t="s">
        <v>364</v>
      </c>
      <c r="C26" s="93" t="s">
        <v>367</v>
      </c>
      <c r="D26">
        <v>0.2</v>
      </c>
      <c r="G26" s="26" t="s">
        <v>527</v>
      </c>
      <c r="H26">
        <v>1.42475</v>
      </c>
      <c r="J26" s="193">
        <v>42396.041666666664</v>
      </c>
      <c r="K26">
        <v>1.4348700000000001</v>
      </c>
      <c r="M26" s="172" t="s">
        <v>369</v>
      </c>
      <c r="N26" s="29">
        <v>101.2</v>
      </c>
      <c r="O26" s="30"/>
      <c r="P26">
        <v>24026</v>
      </c>
      <c r="Q26" s="162">
        <f t="shared" si="0"/>
        <v>425983</v>
      </c>
      <c r="R26" s="96"/>
    </row>
    <row r="27" spans="1:18">
      <c r="A27">
        <v>19</v>
      </c>
      <c r="B27" s="2" t="s">
        <v>365</v>
      </c>
      <c r="C27" s="93" t="s">
        <v>366</v>
      </c>
      <c r="D27">
        <v>0.3</v>
      </c>
      <c r="G27" s="26" t="s">
        <v>528</v>
      </c>
      <c r="H27">
        <v>1.09101</v>
      </c>
      <c r="J27" s="193">
        <v>42398.666666666664</v>
      </c>
      <c r="K27">
        <v>1.08602</v>
      </c>
      <c r="M27" s="172" t="s">
        <v>369</v>
      </c>
      <c r="N27" s="29">
        <v>49.9</v>
      </c>
      <c r="O27" s="30"/>
      <c r="P27">
        <v>18155</v>
      </c>
      <c r="Q27" s="162">
        <f t="shared" si="0"/>
        <v>444138</v>
      </c>
      <c r="R27" s="96"/>
    </row>
    <row r="28" spans="1:18">
      <c r="J28"/>
      <c r="O28" s="30"/>
      <c r="P28" s="99">
        <f>SUM(P25:P27)</f>
        <v>30488</v>
      </c>
      <c r="R28" s="96"/>
    </row>
    <row r="29" spans="1:18">
      <c r="J29"/>
      <c r="O29" s="182" t="s">
        <v>430</v>
      </c>
      <c r="P29" s="99">
        <f>SUM(P28,P23,P17,P8)</f>
        <v>-55862</v>
      </c>
      <c r="R29" s="96"/>
    </row>
    <row r="30" spans="1:18">
      <c r="J30"/>
      <c r="O30" s="30"/>
      <c r="R30" s="96"/>
    </row>
    <row r="31" spans="1:18">
      <c r="A31" s="99" t="s">
        <v>428</v>
      </c>
      <c r="J31"/>
      <c r="O31" s="30"/>
      <c r="R31" s="96"/>
    </row>
    <row r="32" spans="1:18">
      <c r="A32">
        <v>20</v>
      </c>
      <c r="B32" s="2" t="s">
        <v>378</v>
      </c>
      <c r="C32" s="93" t="s">
        <v>383</v>
      </c>
      <c r="D32">
        <v>0.25</v>
      </c>
      <c r="G32" s="26" t="s">
        <v>529</v>
      </c>
      <c r="H32">
        <v>0.71972999999999998</v>
      </c>
      <c r="J32" s="193">
        <v>42401.75</v>
      </c>
      <c r="K32">
        <v>0.72214999999999996</v>
      </c>
      <c r="M32" s="172" t="s">
        <v>386</v>
      </c>
      <c r="O32" s="30">
        <v>-24.2</v>
      </c>
      <c r="P32">
        <v>-8251</v>
      </c>
      <c r="Q32" s="162">
        <f>Q27+P32</f>
        <v>435887</v>
      </c>
      <c r="R32" s="96"/>
    </row>
    <row r="33" spans="1:18">
      <c r="A33">
        <v>21</v>
      </c>
      <c r="B33" s="2" t="s">
        <v>379</v>
      </c>
      <c r="C33" s="93" t="s">
        <v>384</v>
      </c>
      <c r="D33">
        <v>0.2</v>
      </c>
      <c r="G33" s="26" t="s">
        <v>530</v>
      </c>
      <c r="H33">
        <v>1.5373399999999999</v>
      </c>
      <c r="J33" s="193">
        <v>42402.416666666664</v>
      </c>
      <c r="K33">
        <v>1.53731</v>
      </c>
      <c r="M33" s="172" t="s">
        <v>387</v>
      </c>
      <c r="O33" s="30">
        <v>-0.3</v>
      </c>
      <c r="P33">
        <v>-51</v>
      </c>
      <c r="Q33" s="162">
        <f t="shared" si="0"/>
        <v>435836</v>
      </c>
      <c r="R33" s="96"/>
    </row>
    <row r="34" spans="1:18">
      <c r="A34">
        <v>22</v>
      </c>
      <c r="B34" s="2" t="s">
        <v>380</v>
      </c>
      <c r="C34" s="93" t="s">
        <v>383</v>
      </c>
      <c r="D34">
        <v>0.15</v>
      </c>
      <c r="G34" s="26" t="s">
        <v>531</v>
      </c>
      <c r="H34">
        <v>1.01597</v>
      </c>
      <c r="J34" s="193">
        <v>42403.583333333336</v>
      </c>
      <c r="K34">
        <v>1.0178700000000001</v>
      </c>
      <c r="M34" s="172" t="s">
        <v>388</v>
      </c>
      <c r="O34" s="30">
        <v>-1.9</v>
      </c>
      <c r="P34">
        <v>-3349</v>
      </c>
      <c r="Q34" s="162">
        <f t="shared" si="0"/>
        <v>432487</v>
      </c>
      <c r="R34" s="96"/>
    </row>
    <row r="35" spans="1:18">
      <c r="A35">
        <v>23</v>
      </c>
      <c r="B35" s="2" t="s">
        <v>378</v>
      </c>
      <c r="C35" s="93" t="s">
        <v>383</v>
      </c>
      <c r="D35">
        <v>0.1</v>
      </c>
      <c r="G35" s="26" t="s">
        <v>532</v>
      </c>
      <c r="H35">
        <v>0.71979000000000004</v>
      </c>
      <c r="J35" s="193">
        <v>42404.5</v>
      </c>
      <c r="K35">
        <v>0.72467000000000004</v>
      </c>
      <c r="M35" s="172" t="s">
        <v>388</v>
      </c>
      <c r="O35" s="30">
        <v>-48.8</v>
      </c>
      <c r="P35">
        <v>-5722</v>
      </c>
      <c r="Q35" s="162">
        <f t="shared" si="0"/>
        <v>426765</v>
      </c>
      <c r="R35" s="96"/>
    </row>
    <row r="36" spans="1:18">
      <c r="A36">
        <v>24</v>
      </c>
      <c r="B36" s="2" t="s">
        <v>381</v>
      </c>
      <c r="C36" s="93" t="s">
        <v>383</v>
      </c>
      <c r="D36">
        <v>0.1</v>
      </c>
      <c r="G36" s="26" t="s">
        <v>533</v>
      </c>
      <c r="H36">
        <v>85.832999999999998</v>
      </c>
      <c r="J36" s="193">
        <v>42404.666666666664</v>
      </c>
      <c r="K36">
        <v>85.834000000000003</v>
      </c>
      <c r="M36" s="172" t="s">
        <v>388</v>
      </c>
      <c r="O36" s="30">
        <v>-0.1</v>
      </c>
      <c r="P36">
        <v>-2450</v>
      </c>
      <c r="Q36" s="162">
        <f t="shared" si="0"/>
        <v>424315</v>
      </c>
      <c r="R36" s="96"/>
    </row>
    <row r="37" spans="1:18">
      <c r="A37">
        <v>25</v>
      </c>
      <c r="B37" s="2" t="s">
        <v>382</v>
      </c>
      <c r="C37" s="93" t="s">
        <v>385</v>
      </c>
      <c r="D37">
        <v>0.1</v>
      </c>
      <c r="G37" s="26" t="s">
        <v>534</v>
      </c>
      <c r="H37">
        <v>116.497</v>
      </c>
      <c r="J37" s="193">
        <v>42405.625</v>
      </c>
      <c r="K37">
        <v>116.491</v>
      </c>
      <c r="M37" s="172" t="s">
        <v>388</v>
      </c>
      <c r="O37" s="30">
        <v>-0.6</v>
      </c>
      <c r="P37">
        <v>-9240</v>
      </c>
      <c r="Q37" s="162">
        <f t="shared" si="0"/>
        <v>415075</v>
      </c>
      <c r="R37" s="96"/>
    </row>
    <row r="38" spans="1:18">
      <c r="J38"/>
      <c r="M38" s="172"/>
      <c r="O38" s="30"/>
      <c r="P38" s="99">
        <f>SUM(P32:P37)</f>
        <v>-29063</v>
      </c>
      <c r="Q38" s="162"/>
      <c r="R38" s="96"/>
    </row>
    <row r="39" spans="1:18">
      <c r="J39"/>
      <c r="M39" s="172"/>
      <c r="O39" s="30"/>
      <c r="Q39" s="162"/>
      <c r="R39" s="96"/>
    </row>
    <row r="40" spans="1:18">
      <c r="A40">
        <v>26</v>
      </c>
      <c r="B40" s="2" t="s">
        <v>392</v>
      </c>
      <c r="C40" s="93" t="s">
        <v>395</v>
      </c>
      <c r="D40">
        <v>0.1</v>
      </c>
      <c r="G40" s="26" t="s">
        <v>535</v>
      </c>
      <c r="H40">
        <v>170.233</v>
      </c>
      <c r="J40" s="193">
        <v>42408.5</v>
      </c>
      <c r="K40">
        <v>170.75700000000001</v>
      </c>
      <c r="M40" s="172" t="s">
        <v>397</v>
      </c>
      <c r="O40" s="30">
        <v>-52.4</v>
      </c>
      <c r="P40">
        <v>-13030</v>
      </c>
      <c r="Q40" s="162">
        <f>Q37+P40</f>
        <v>402045</v>
      </c>
      <c r="R40" s="96"/>
    </row>
    <row r="41" spans="1:18">
      <c r="A41">
        <v>27</v>
      </c>
      <c r="B41" s="2" t="s">
        <v>393</v>
      </c>
      <c r="C41" s="93" t="s">
        <v>396</v>
      </c>
      <c r="D41">
        <v>0.5</v>
      </c>
      <c r="G41" s="26" t="s">
        <v>536</v>
      </c>
      <c r="H41">
        <v>0.91759999999999997</v>
      </c>
      <c r="J41" s="193">
        <v>42409.833333333336</v>
      </c>
      <c r="K41">
        <v>0.91347</v>
      </c>
      <c r="M41" s="172" t="s">
        <v>397</v>
      </c>
      <c r="O41" s="30">
        <v>-41.3</v>
      </c>
      <c r="P41">
        <v>-17872</v>
      </c>
      <c r="Q41" s="162">
        <f t="shared" si="0"/>
        <v>384173</v>
      </c>
      <c r="R41" s="96"/>
    </row>
    <row r="42" spans="1:18">
      <c r="A42">
        <v>28</v>
      </c>
      <c r="B42" s="2" t="s">
        <v>393</v>
      </c>
      <c r="C42" s="93" t="s">
        <v>396</v>
      </c>
      <c r="D42">
        <v>0.1</v>
      </c>
      <c r="G42" s="26" t="s">
        <v>537</v>
      </c>
      <c r="H42">
        <v>0.91990000000000005</v>
      </c>
      <c r="J42" s="193">
        <v>42410</v>
      </c>
      <c r="K42">
        <v>0.92286000000000001</v>
      </c>
      <c r="M42" s="172" t="s">
        <v>397</v>
      </c>
      <c r="O42" s="30">
        <v>-29.6</v>
      </c>
      <c r="P42">
        <v>-2457</v>
      </c>
      <c r="Q42" s="162">
        <f t="shared" si="0"/>
        <v>381716</v>
      </c>
      <c r="R42" s="96"/>
    </row>
    <row r="43" spans="1:18">
      <c r="A43">
        <v>29</v>
      </c>
      <c r="B43" s="2" t="s">
        <v>394</v>
      </c>
      <c r="C43" s="93" t="s">
        <v>396</v>
      </c>
      <c r="D43">
        <v>0.1</v>
      </c>
      <c r="G43" s="26" t="s">
        <v>538</v>
      </c>
      <c r="H43">
        <v>0.78091999999999995</v>
      </c>
      <c r="J43" s="193">
        <v>42412.5</v>
      </c>
      <c r="K43">
        <v>0.77586999999999995</v>
      </c>
      <c r="M43" s="172" t="s">
        <v>398</v>
      </c>
      <c r="N43" s="29">
        <v>50.5</v>
      </c>
      <c r="O43" s="30"/>
      <c r="P43">
        <v>8266</v>
      </c>
      <c r="Q43" s="162">
        <f t="shared" si="0"/>
        <v>389982</v>
      </c>
      <c r="R43" s="96"/>
    </row>
    <row r="44" spans="1:18">
      <c r="J44"/>
      <c r="M44" s="172"/>
      <c r="O44" s="30"/>
      <c r="P44" s="99">
        <f>SUM(P40:P43)</f>
        <v>-25093</v>
      </c>
      <c r="Q44" s="162"/>
      <c r="R44" s="96"/>
    </row>
    <row r="45" spans="1:18">
      <c r="J45"/>
      <c r="M45" s="172"/>
      <c r="O45" s="30"/>
      <c r="Q45" s="162"/>
      <c r="R45" s="96"/>
    </row>
    <row r="46" spans="1:18">
      <c r="A46">
        <v>31</v>
      </c>
      <c r="B46" s="2" t="s">
        <v>405</v>
      </c>
      <c r="C46" s="93" t="s">
        <v>408</v>
      </c>
      <c r="D46">
        <v>0.1</v>
      </c>
      <c r="G46" s="26" t="s">
        <v>539</v>
      </c>
      <c r="H46">
        <v>127.717</v>
      </c>
      <c r="J46" s="193">
        <v>42416.5</v>
      </c>
      <c r="K46">
        <v>127.301</v>
      </c>
      <c r="M46" s="172" t="s">
        <v>410</v>
      </c>
      <c r="N46" s="29">
        <v>41.6</v>
      </c>
      <c r="O46" s="30"/>
      <c r="P46">
        <v>4160</v>
      </c>
      <c r="Q46" s="162">
        <f>Q43+P46</f>
        <v>394142</v>
      </c>
      <c r="R46" s="96"/>
    </row>
    <row r="47" spans="1:18">
      <c r="A47">
        <v>32</v>
      </c>
      <c r="B47" s="2" t="s">
        <v>406</v>
      </c>
      <c r="C47" s="93" t="s">
        <v>409</v>
      </c>
      <c r="D47">
        <v>0.15</v>
      </c>
      <c r="G47" s="26" t="s">
        <v>540</v>
      </c>
      <c r="H47">
        <v>163.547</v>
      </c>
      <c r="J47" s="193">
        <v>42416.708333333336</v>
      </c>
      <c r="K47">
        <v>162.78700000000001</v>
      </c>
      <c r="M47" s="172" t="s">
        <v>411</v>
      </c>
      <c r="O47" s="30">
        <v>-76</v>
      </c>
      <c r="P47">
        <v>-11400</v>
      </c>
      <c r="Q47" s="162">
        <f t="shared" ref="Q47:Q57" si="1">Q46+P47</f>
        <v>382742</v>
      </c>
      <c r="R47" s="96"/>
    </row>
    <row r="48" spans="1:18">
      <c r="A48">
        <v>33</v>
      </c>
      <c r="B48" s="2" t="s">
        <v>406</v>
      </c>
      <c r="C48" s="93" t="s">
        <v>409</v>
      </c>
      <c r="D48">
        <v>0.1</v>
      </c>
      <c r="G48" s="26" t="s">
        <v>541</v>
      </c>
      <c r="H48">
        <v>163.607</v>
      </c>
      <c r="J48" s="193">
        <v>42417.666666666664</v>
      </c>
      <c r="K48">
        <v>162.83699999999999</v>
      </c>
      <c r="M48" s="172" t="s">
        <v>411</v>
      </c>
      <c r="O48" s="30">
        <v>-77</v>
      </c>
      <c r="P48">
        <v>-7700</v>
      </c>
      <c r="Q48" s="162">
        <f t="shared" si="1"/>
        <v>375042</v>
      </c>
      <c r="R48" s="96"/>
    </row>
    <row r="49" spans="1:18">
      <c r="A49">
        <v>34</v>
      </c>
      <c r="B49" s="2" t="s">
        <v>407</v>
      </c>
      <c r="C49" s="93" t="s">
        <v>408</v>
      </c>
      <c r="D49">
        <v>0.2</v>
      </c>
      <c r="G49" s="26" t="s">
        <v>542</v>
      </c>
      <c r="H49">
        <v>1.1019600000000001</v>
      </c>
      <c r="J49" s="193">
        <v>42419.791666666664</v>
      </c>
      <c r="K49">
        <v>1.1019600000000001</v>
      </c>
      <c r="M49" s="172" t="s">
        <v>332</v>
      </c>
      <c r="N49" s="29">
        <v>0</v>
      </c>
      <c r="O49" s="30"/>
      <c r="P49">
        <v>0</v>
      </c>
      <c r="Q49" s="162">
        <f t="shared" si="1"/>
        <v>375042</v>
      </c>
      <c r="R49" s="96"/>
    </row>
    <row r="50" spans="1:18">
      <c r="J50"/>
      <c r="M50" s="172"/>
      <c r="O50" s="30"/>
      <c r="P50" s="99">
        <f>SUM(P46:P49)</f>
        <v>-14940</v>
      </c>
      <c r="Q50" s="162"/>
      <c r="R50" s="96"/>
    </row>
    <row r="51" spans="1:18">
      <c r="J51"/>
      <c r="M51" s="172"/>
      <c r="O51" s="30"/>
      <c r="Q51" s="162"/>
      <c r="R51" s="96"/>
    </row>
    <row r="52" spans="1:18">
      <c r="A52">
        <v>35</v>
      </c>
      <c r="B52" s="2" t="s">
        <v>416</v>
      </c>
      <c r="C52" s="93" t="s">
        <v>419</v>
      </c>
      <c r="D52">
        <v>0.2</v>
      </c>
      <c r="G52" s="26" t="s">
        <v>543</v>
      </c>
      <c r="H52">
        <v>112.867</v>
      </c>
      <c r="J52" s="193">
        <v>42424.416666666664</v>
      </c>
      <c r="K52">
        <v>112.114</v>
      </c>
      <c r="M52" s="172" t="s">
        <v>420</v>
      </c>
      <c r="N52" s="29">
        <v>75.3</v>
      </c>
      <c r="O52" s="30"/>
      <c r="P52">
        <v>15060</v>
      </c>
      <c r="Q52" s="162">
        <f>Q49+P52</f>
        <v>390102</v>
      </c>
      <c r="R52" s="96"/>
    </row>
    <row r="53" spans="1:18">
      <c r="A53">
        <v>36</v>
      </c>
      <c r="B53" s="2" t="s">
        <v>416</v>
      </c>
      <c r="C53" s="93" t="s">
        <v>419</v>
      </c>
      <c r="D53">
        <v>0.2</v>
      </c>
      <c r="G53" s="26" t="s">
        <v>544</v>
      </c>
      <c r="H53">
        <v>112.733</v>
      </c>
      <c r="J53" s="193">
        <v>42425.583333333336</v>
      </c>
      <c r="K53">
        <v>112.467</v>
      </c>
      <c r="M53" s="172" t="s">
        <v>420</v>
      </c>
      <c r="N53" s="29">
        <v>26.6</v>
      </c>
      <c r="O53" s="30"/>
      <c r="P53">
        <v>5320</v>
      </c>
      <c r="Q53" s="162">
        <f t="shared" si="1"/>
        <v>395422</v>
      </c>
      <c r="R53" s="96"/>
    </row>
    <row r="54" spans="1:18">
      <c r="A54">
        <v>37</v>
      </c>
      <c r="B54" s="2" t="s">
        <v>417</v>
      </c>
      <c r="C54" s="93" t="s">
        <v>419</v>
      </c>
      <c r="D54">
        <v>0.2</v>
      </c>
      <c r="G54" s="26" t="s">
        <v>545</v>
      </c>
      <c r="H54">
        <v>0.99239999999999995</v>
      </c>
      <c r="J54" s="193">
        <v>42425.416666666664</v>
      </c>
      <c r="K54">
        <v>0.99056</v>
      </c>
      <c r="M54" s="172" t="s">
        <v>420</v>
      </c>
      <c r="N54" s="29">
        <v>18.399999999999999</v>
      </c>
      <c r="O54" s="30"/>
      <c r="P54">
        <v>4168</v>
      </c>
      <c r="Q54" s="162">
        <f t="shared" si="1"/>
        <v>399590</v>
      </c>
      <c r="R54" s="96"/>
    </row>
    <row r="55" spans="1:18">
      <c r="A55">
        <v>38</v>
      </c>
      <c r="B55" s="2" t="s">
        <v>417</v>
      </c>
      <c r="C55" s="93" t="s">
        <v>419</v>
      </c>
      <c r="D55">
        <v>0.2</v>
      </c>
      <c r="G55" s="26" t="s">
        <v>546</v>
      </c>
      <c r="H55">
        <v>0.98953999999999998</v>
      </c>
      <c r="J55" s="193">
        <v>42425.416666666664</v>
      </c>
      <c r="K55">
        <v>0.99056</v>
      </c>
      <c r="M55" s="172" t="s">
        <v>421</v>
      </c>
      <c r="O55" s="30">
        <v>-10.199999999999999</v>
      </c>
      <c r="P55">
        <v>-2311</v>
      </c>
      <c r="Q55" s="162">
        <f t="shared" si="1"/>
        <v>397279</v>
      </c>
      <c r="R55" s="96"/>
    </row>
    <row r="56" spans="1:18">
      <c r="A56">
        <v>39</v>
      </c>
      <c r="B56" s="2" t="s">
        <v>418</v>
      </c>
      <c r="C56" s="93" t="s">
        <v>419</v>
      </c>
      <c r="D56">
        <v>0.2</v>
      </c>
      <c r="G56" s="26" t="s">
        <v>547</v>
      </c>
      <c r="H56">
        <v>1.09094</v>
      </c>
      <c r="J56" s="193">
        <v>42426.25</v>
      </c>
      <c r="K56">
        <v>1.09294</v>
      </c>
      <c r="M56" s="172" t="s">
        <v>421</v>
      </c>
      <c r="O56" s="30">
        <v>-20</v>
      </c>
      <c r="P56">
        <v>-4572</v>
      </c>
      <c r="Q56" s="162">
        <f t="shared" si="1"/>
        <v>392707</v>
      </c>
      <c r="R56" s="96"/>
    </row>
    <row r="57" spans="1:18">
      <c r="A57">
        <v>40</v>
      </c>
      <c r="B57" s="2" t="s">
        <v>416</v>
      </c>
      <c r="C57" s="93" t="s">
        <v>419</v>
      </c>
      <c r="D57">
        <v>0.2</v>
      </c>
      <c r="G57" s="26" t="s">
        <v>548</v>
      </c>
      <c r="H57">
        <v>112.749</v>
      </c>
      <c r="J57" s="193">
        <v>42426.5</v>
      </c>
      <c r="K57">
        <v>113.003</v>
      </c>
      <c r="M57" s="172" t="s">
        <v>421</v>
      </c>
      <c r="O57" s="30">
        <v>-25.4</v>
      </c>
      <c r="P57">
        <v>-5080</v>
      </c>
      <c r="Q57" s="162">
        <f t="shared" si="1"/>
        <v>387627</v>
      </c>
      <c r="R57" s="96"/>
    </row>
    <row r="58" spans="1:18">
      <c r="A58">
        <v>41</v>
      </c>
      <c r="B58" s="2" t="s">
        <v>437</v>
      </c>
      <c r="C58" s="93" t="s">
        <v>440</v>
      </c>
      <c r="D58">
        <v>0.1</v>
      </c>
      <c r="G58" s="26" t="s">
        <v>549</v>
      </c>
      <c r="H58">
        <v>0.73412999999999995</v>
      </c>
      <c r="J58" s="193">
        <v>42430.708333333336</v>
      </c>
      <c r="K58">
        <v>0.74253000000000002</v>
      </c>
      <c r="M58" s="172" t="s">
        <v>441</v>
      </c>
      <c r="O58" s="30">
        <v>-8.4</v>
      </c>
      <c r="P58" s="157">
        <v>-9553</v>
      </c>
      <c r="Q58" s="162">
        <f>Q57+P58</f>
        <v>378074</v>
      </c>
      <c r="R58" s="96"/>
    </row>
    <row r="59" spans="1:18">
      <c r="J59"/>
      <c r="M59" s="172"/>
      <c r="O59" s="30"/>
      <c r="P59" s="99">
        <f>SUM(P52:P58)</f>
        <v>3032</v>
      </c>
      <c r="Q59" s="162"/>
      <c r="R59" s="96"/>
    </row>
    <row r="60" spans="1:18">
      <c r="J60"/>
      <c r="M60" s="172"/>
      <c r="O60" s="182" t="s">
        <v>431</v>
      </c>
      <c r="P60" s="157">
        <v>-66064</v>
      </c>
      <c r="Q60" s="162"/>
      <c r="R60" s="96"/>
    </row>
    <row r="61" spans="1:18">
      <c r="A61" s="99" t="s">
        <v>451</v>
      </c>
      <c r="J61"/>
      <c r="M61" s="172"/>
      <c r="O61" s="182"/>
      <c r="P61" s="157"/>
      <c r="Q61" s="162"/>
      <c r="R61" s="96"/>
    </row>
    <row r="62" spans="1:18">
      <c r="A62">
        <v>42</v>
      </c>
      <c r="B62" s="2" t="s">
        <v>438</v>
      </c>
      <c r="C62" s="93" t="s">
        <v>440</v>
      </c>
      <c r="D62">
        <v>0.2</v>
      </c>
      <c r="G62" s="26" t="s">
        <v>550</v>
      </c>
      <c r="H62">
        <v>1.0853200000000001</v>
      </c>
      <c r="J62" s="193">
        <v>42431.291666666664</v>
      </c>
      <c r="K62">
        <v>1.0853200000000001</v>
      </c>
      <c r="M62" s="172" t="s">
        <v>442</v>
      </c>
      <c r="N62" s="29">
        <v>0</v>
      </c>
      <c r="O62" s="30"/>
      <c r="P62" s="157">
        <v>0</v>
      </c>
      <c r="Q62" s="162">
        <f>Q58+P62</f>
        <v>378074</v>
      </c>
      <c r="R62" s="96"/>
    </row>
    <row r="63" spans="1:18">
      <c r="A63">
        <v>43</v>
      </c>
      <c r="B63" s="2" t="s">
        <v>439</v>
      </c>
      <c r="C63" s="93" t="s">
        <v>440</v>
      </c>
      <c r="D63">
        <v>0.13</v>
      </c>
      <c r="G63" s="26" t="s">
        <v>551</v>
      </c>
      <c r="H63">
        <v>0.99421999999999999</v>
      </c>
      <c r="J63" s="193">
        <v>42445.708333333336</v>
      </c>
      <c r="K63">
        <v>0.99421999999999999</v>
      </c>
      <c r="M63" s="172" t="s">
        <v>442</v>
      </c>
      <c r="N63" s="29">
        <v>0</v>
      </c>
      <c r="O63" s="30"/>
      <c r="P63" s="157">
        <v>0</v>
      </c>
      <c r="Q63" s="162">
        <f t="shared" ref="Q63:Q64" si="2">Q62+P63</f>
        <v>378074</v>
      </c>
      <c r="R63" s="96"/>
    </row>
    <row r="64" spans="1:18">
      <c r="A64">
        <v>44</v>
      </c>
      <c r="B64" s="2" t="s">
        <v>439</v>
      </c>
      <c r="C64" s="93" t="s">
        <v>440</v>
      </c>
      <c r="D64">
        <v>0.15</v>
      </c>
      <c r="G64" s="26" t="s">
        <v>552</v>
      </c>
      <c r="H64">
        <v>0.99312</v>
      </c>
      <c r="J64" s="193">
        <v>42433.583333333336</v>
      </c>
      <c r="K64">
        <v>0.99312999999999996</v>
      </c>
      <c r="M64" s="172" t="s">
        <v>442</v>
      </c>
      <c r="O64" s="30">
        <v>-0.1</v>
      </c>
      <c r="P64" s="157">
        <v>-17</v>
      </c>
      <c r="Q64" s="162">
        <f t="shared" si="2"/>
        <v>378057</v>
      </c>
      <c r="R64" s="96"/>
    </row>
    <row r="65" spans="1:18">
      <c r="J65"/>
      <c r="M65" s="172"/>
      <c r="O65" s="30"/>
      <c r="P65" s="99">
        <v>-17</v>
      </c>
      <c r="Q65" s="162"/>
      <c r="R65" s="96"/>
    </row>
    <row r="66" spans="1:18">
      <c r="J66"/>
      <c r="M66" s="172"/>
      <c r="O66" s="30"/>
      <c r="P66" s="99"/>
      <c r="Q66" s="162"/>
      <c r="R66" s="96"/>
    </row>
    <row r="67" spans="1:18">
      <c r="A67">
        <v>45</v>
      </c>
      <c r="B67" s="2" t="s">
        <v>452</v>
      </c>
      <c r="C67" s="93" t="s">
        <v>86</v>
      </c>
      <c r="D67">
        <v>0.35</v>
      </c>
      <c r="G67" s="26" t="s">
        <v>553</v>
      </c>
      <c r="H67">
        <v>0.77342999999999995</v>
      </c>
      <c r="J67" s="193">
        <v>42437.125</v>
      </c>
      <c r="K67">
        <v>0.77344999999999997</v>
      </c>
      <c r="M67" s="172" t="s">
        <v>454</v>
      </c>
      <c r="O67" s="30">
        <v>-0.2</v>
      </c>
      <c r="P67" s="157">
        <v>-618</v>
      </c>
      <c r="Q67" s="162">
        <f>Q64+P67</f>
        <v>377439</v>
      </c>
      <c r="R67" s="96"/>
    </row>
    <row r="68" spans="1:18">
      <c r="A68">
        <v>46</v>
      </c>
      <c r="B68" s="2" t="s">
        <v>453</v>
      </c>
      <c r="C68" s="93" t="s">
        <v>86</v>
      </c>
      <c r="D68">
        <v>0.2</v>
      </c>
      <c r="G68" s="26" t="s">
        <v>554</v>
      </c>
      <c r="H68">
        <v>0.73868999999999996</v>
      </c>
      <c r="J68" s="193">
        <v>42437.791666666664</v>
      </c>
      <c r="K68">
        <v>0.74273</v>
      </c>
      <c r="M68" s="172" t="s">
        <v>455</v>
      </c>
      <c r="O68" s="30">
        <v>-40.4</v>
      </c>
      <c r="P68" s="157">
        <v>-9148</v>
      </c>
      <c r="Q68" s="162">
        <f t="shared" ref="Q68:Q71" si="3">Q67+P68</f>
        <v>368291</v>
      </c>
      <c r="R68" s="96"/>
    </row>
    <row r="69" spans="1:18">
      <c r="A69">
        <v>47</v>
      </c>
      <c r="B69" s="2" t="s">
        <v>452</v>
      </c>
      <c r="C69" s="93" t="s">
        <v>86</v>
      </c>
      <c r="D69">
        <v>0.1</v>
      </c>
      <c r="G69" s="26" t="s">
        <v>555</v>
      </c>
      <c r="H69">
        <v>0.77007000000000003</v>
      </c>
      <c r="J69" s="193">
        <v>42438.708333333336</v>
      </c>
      <c r="K69">
        <v>0.77270000000000005</v>
      </c>
      <c r="M69" s="172" t="s">
        <v>455</v>
      </c>
      <c r="O69" s="30">
        <v>-26.3</v>
      </c>
      <c r="P69" s="157">
        <v>-4214</v>
      </c>
      <c r="Q69" s="162">
        <f t="shared" si="3"/>
        <v>364077</v>
      </c>
      <c r="R69" s="96"/>
    </row>
    <row r="70" spans="1:18">
      <c r="A70">
        <v>48</v>
      </c>
      <c r="B70" s="2" t="s">
        <v>452</v>
      </c>
      <c r="C70" s="93" t="s">
        <v>86</v>
      </c>
      <c r="D70">
        <v>0.1</v>
      </c>
      <c r="G70" s="26" t="s">
        <v>556</v>
      </c>
      <c r="H70">
        <v>0.77110000000000001</v>
      </c>
      <c r="J70" s="193">
        <v>42438.708333333336</v>
      </c>
      <c r="K70">
        <v>0.77270000000000005</v>
      </c>
      <c r="M70" s="172" t="s">
        <v>455</v>
      </c>
      <c r="O70" s="30">
        <v>-1.6</v>
      </c>
      <c r="P70" s="157">
        <v>-2564</v>
      </c>
      <c r="Q70" s="162">
        <f t="shared" si="3"/>
        <v>361513</v>
      </c>
      <c r="R70" s="96"/>
    </row>
    <row r="71" spans="1:18">
      <c r="A71">
        <v>49</v>
      </c>
      <c r="B71" s="2" t="s">
        <v>460</v>
      </c>
      <c r="C71" s="93" t="s">
        <v>461</v>
      </c>
      <c r="D71">
        <v>0.35</v>
      </c>
      <c r="G71" s="26" t="s">
        <v>557</v>
      </c>
      <c r="H71">
        <v>125.74299999999999</v>
      </c>
      <c r="J71" s="193">
        <v>42443.416666666664</v>
      </c>
      <c r="K71">
        <v>126.63</v>
      </c>
      <c r="M71" s="172" t="s">
        <v>462</v>
      </c>
      <c r="N71" s="29">
        <v>88.7</v>
      </c>
      <c r="O71" s="30"/>
      <c r="P71" s="157">
        <v>31045</v>
      </c>
      <c r="Q71" s="162">
        <f t="shared" si="3"/>
        <v>392558</v>
      </c>
      <c r="R71" s="96"/>
    </row>
    <row r="72" spans="1:18">
      <c r="J72"/>
      <c r="M72" s="172"/>
      <c r="O72" s="30"/>
      <c r="P72" s="99">
        <f>SUM(P67:P71)</f>
        <v>14501</v>
      </c>
      <c r="Q72" s="162"/>
      <c r="R72" s="96"/>
    </row>
    <row r="73" spans="1:18">
      <c r="J73"/>
      <c r="M73" s="172"/>
      <c r="O73" s="30"/>
      <c r="Q73" s="162"/>
      <c r="R73" s="96"/>
    </row>
    <row r="74" spans="1:18">
      <c r="A74">
        <v>50</v>
      </c>
      <c r="B74" s="2" t="s">
        <v>463</v>
      </c>
      <c r="C74" s="93" t="s">
        <v>465</v>
      </c>
      <c r="D74">
        <v>0.21</v>
      </c>
      <c r="G74" s="26" t="s">
        <v>558</v>
      </c>
      <c r="H74">
        <v>85.691999999999993</v>
      </c>
      <c r="J74" s="193">
        <v>42443.583333333336</v>
      </c>
      <c r="K74">
        <v>85.861000000000004</v>
      </c>
      <c r="M74" s="172" t="s">
        <v>466</v>
      </c>
      <c r="O74" s="30">
        <v>-16.899999999999999</v>
      </c>
      <c r="P74">
        <v>-3549</v>
      </c>
      <c r="Q74" s="162">
        <f>Q71+P74</f>
        <v>389009</v>
      </c>
      <c r="R74" s="96"/>
    </row>
    <row r="75" spans="1:18">
      <c r="A75">
        <v>51</v>
      </c>
      <c r="B75" s="2" t="s">
        <v>463</v>
      </c>
      <c r="C75" s="93" t="s">
        <v>465</v>
      </c>
      <c r="D75">
        <v>0.21</v>
      </c>
      <c r="G75" s="26" t="s">
        <v>559</v>
      </c>
      <c r="H75">
        <v>85.603999999999999</v>
      </c>
      <c r="J75" s="193">
        <v>42444.041666666664</v>
      </c>
      <c r="K75">
        <v>85.603999999999999</v>
      </c>
      <c r="M75" s="172" t="s">
        <v>467</v>
      </c>
      <c r="N75" s="29">
        <v>0</v>
      </c>
      <c r="O75" s="30"/>
      <c r="P75">
        <v>0</v>
      </c>
      <c r="Q75" s="162">
        <f t="shared" ref="Q75:Q78" si="4">Q74+P75</f>
        <v>389009</v>
      </c>
      <c r="R75" s="96"/>
    </row>
    <row r="76" spans="1:18">
      <c r="A76">
        <v>52</v>
      </c>
      <c r="B76" s="2" t="s">
        <v>460</v>
      </c>
      <c r="C76" s="93" t="s">
        <v>461</v>
      </c>
      <c r="D76">
        <v>0.21</v>
      </c>
      <c r="G76" s="26" t="s">
        <v>560</v>
      </c>
      <c r="H76">
        <v>125.749</v>
      </c>
      <c r="J76" s="193">
        <v>42446.25</v>
      </c>
      <c r="K76">
        <v>125.943</v>
      </c>
      <c r="M76" s="172" t="s">
        <v>462</v>
      </c>
      <c r="N76" s="29">
        <v>19.399999999999999</v>
      </c>
      <c r="O76" s="30"/>
      <c r="P76">
        <v>4074</v>
      </c>
      <c r="Q76" s="162">
        <f t="shared" si="4"/>
        <v>393083</v>
      </c>
      <c r="R76" s="96"/>
    </row>
    <row r="77" spans="1:18">
      <c r="A77">
        <v>53</v>
      </c>
      <c r="B77" s="2" t="s">
        <v>460</v>
      </c>
      <c r="C77" s="93" t="s">
        <v>461</v>
      </c>
      <c r="D77">
        <v>0.2</v>
      </c>
      <c r="G77" s="26" t="s">
        <v>561</v>
      </c>
      <c r="H77">
        <v>125.85</v>
      </c>
      <c r="J77" s="193">
        <v>42445.291666666664</v>
      </c>
      <c r="K77">
        <v>125.85</v>
      </c>
      <c r="M77" s="172" t="s">
        <v>467</v>
      </c>
      <c r="N77" s="29">
        <v>0</v>
      </c>
      <c r="O77" s="30"/>
      <c r="P77">
        <v>0</v>
      </c>
      <c r="Q77" s="162">
        <f t="shared" si="4"/>
        <v>393083</v>
      </c>
      <c r="R77" s="96"/>
    </row>
    <row r="78" spans="1:18">
      <c r="A78">
        <v>54</v>
      </c>
      <c r="B78" s="2" t="s">
        <v>464</v>
      </c>
      <c r="C78" s="93" t="s">
        <v>461</v>
      </c>
      <c r="D78">
        <v>0.15</v>
      </c>
      <c r="G78" s="26" t="s">
        <v>562</v>
      </c>
      <c r="H78">
        <v>76.472999999999999</v>
      </c>
      <c r="J78" s="193">
        <v>42447.083333333336</v>
      </c>
      <c r="K78">
        <v>75.856999999999999</v>
      </c>
      <c r="M78" s="172" t="s">
        <v>466</v>
      </c>
      <c r="O78" s="30">
        <v>-61.6</v>
      </c>
      <c r="P78">
        <v>-9240</v>
      </c>
      <c r="Q78" s="162">
        <f t="shared" si="4"/>
        <v>383843</v>
      </c>
      <c r="R78" s="96"/>
    </row>
    <row r="79" spans="1:18">
      <c r="J79"/>
      <c r="M79" s="172"/>
      <c r="O79" s="30"/>
      <c r="P79" s="99">
        <f>SUM(P74:P78)</f>
        <v>-8715</v>
      </c>
      <c r="Q79" s="162"/>
      <c r="R79" s="96"/>
    </row>
    <row r="80" spans="1:18">
      <c r="A80" t="s">
        <v>468</v>
      </c>
      <c r="B80" s="2" t="s">
        <v>481</v>
      </c>
      <c r="C80" s="93" t="s">
        <v>461</v>
      </c>
      <c r="D80">
        <v>0.5</v>
      </c>
      <c r="G80" s="26" t="s">
        <v>563</v>
      </c>
      <c r="H80">
        <v>1.1067100000000001</v>
      </c>
      <c r="J80" s="193">
        <v>42447.375</v>
      </c>
      <c r="K80">
        <v>1.12785</v>
      </c>
      <c r="M80" s="172" t="s">
        <v>462</v>
      </c>
      <c r="N80" s="29">
        <v>211.4</v>
      </c>
      <c r="O80" s="30"/>
      <c r="P80">
        <v>117637</v>
      </c>
      <c r="Q80" s="162"/>
      <c r="R80" s="96"/>
    </row>
    <row r="81" spans="1:19">
      <c r="J81"/>
      <c r="M81" s="172"/>
      <c r="O81" s="30"/>
      <c r="Q81" s="162"/>
      <c r="R81" s="96"/>
    </row>
    <row r="82" spans="1:19">
      <c r="A82">
        <v>56</v>
      </c>
      <c r="B82" s="2" t="s">
        <v>469</v>
      </c>
      <c r="C82" s="93" t="s">
        <v>475</v>
      </c>
      <c r="D82">
        <v>0.3</v>
      </c>
      <c r="G82" s="26" t="s">
        <v>564</v>
      </c>
      <c r="H82">
        <v>75.569000000000003</v>
      </c>
      <c r="J82" s="193">
        <v>42450.625</v>
      </c>
      <c r="K82">
        <v>75.58</v>
      </c>
      <c r="M82" s="172" t="s">
        <v>477</v>
      </c>
      <c r="N82" s="29">
        <v>1.1000000000000001</v>
      </c>
      <c r="O82" s="30"/>
      <c r="P82">
        <v>330</v>
      </c>
      <c r="Q82" s="162">
        <f>Q78+P82</f>
        <v>384173</v>
      </c>
      <c r="R82" s="96"/>
      <c r="S82" s="186">
        <f>SUM(H82)-K82</f>
        <v>-1.099999999999568E-2</v>
      </c>
    </row>
    <row r="83" spans="1:19">
      <c r="A83">
        <v>57</v>
      </c>
      <c r="B83" s="2" t="s">
        <v>469</v>
      </c>
      <c r="C83" s="93" t="s">
        <v>475</v>
      </c>
      <c r="D83">
        <v>0.2</v>
      </c>
      <c r="G83" s="26" t="s">
        <v>565</v>
      </c>
      <c r="H83">
        <v>75.725999999999999</v>
      </c>
      <c r="J83" s="193">
        <v>42451.083333333336</v>
      </c>
      <c r="K83">
        <v>75.676000000000002</v>
      </c>
      <c r="M83" s="172" t="s">
        <v>477</v>
      </c>
      <c r="O83" s="30">
        <v>-5</v>
      </c>
      <c r="P83">
        <v>-1000</v>
      </c>
      <c r="Q83" s="162">
        <f t="shared" ref="Q83:Q92" si="5">Q82+P83</f>
        <v>383173</v>
      </c>
      <c r="R83" s="96"/>
      <c r="S83" s="186">
        <f t="shared" ref="S83:S92" si="6">SUM(H83)-K83</f>
        <v>4.9999999999997158E-2</v>
      </c>
    </row>
    <row r="84" spans="1:19">
      <c r="A84">
        <v>58</v>
      </c>
      <c r="B84" s="2" t="s">
        <v>470</v>
      </c>
      <c r="C84" s="93" t="s">
        <v>476</v>
      </c>
      <c r="D84">
        <v>0.3</v>
      </c>
      <c r="G84" s="26" t="s">
        <v>566</v>
      </c>
      <c r="H84">
        <v>111.848</v>
      </c>
      <c r="J84" s="193">
        <v>42451.75</v>
      </c>
      <c r="K84">
        <v>111.938</v>
      </c>
      <c r="M84" s="172" t="s">
        <v>478</v>
      </c>
      <c r="O84" s="30">
        <v>-9</v>
      </c>
      <c r="P84">
        <v>-2700</v>
      </c>
      <c r="Q84" s="162">
        <f t="shared" si="5"/>
        <v>380473</v>
      </c>
      <c r="R84" s="96"/>
      <c r="S84" s="186">
        <f t="shared" si="6"/>
        <v>-9.0000000000003411E-2</v>
      </c>
    </row>
    <row r="85" spans="1:19">
      <c r="A85">
        <v>59</v>
      </c>
      <c r="B85" s="2" t="s">
        <v>471</v>
      </c>
      <c r="C85" s="93" t="s">
        <v>476</v>
      </c>
      <c r="D85">
        <v>0.1</v>
      </c>
      <c r="G85" s="26" t="s">
        <v>567</v>
      </c>
      <c r="H85">
        <v>0.79127000000000003</v>
      </c>
      <c r="J85" s="193">
        <v>42453.625</v>
      </c>
      <c r="K85">
        <v>0.79125999999999996</v>
      </c>
      <c r="M85" s="172" t="s">
        <v>477</v>
      </c>
      <c r="N85" s="29">
        <v>0.1</v>
      </c>
      <c r="O85" s="30"/>
      <c r="P85">
        <v>16</v>
      </c>
      <c r="Q85" s="162">
        <f t="shared" si="5"/>
        <v>380489</v>
      </c>
      <c r="R85" s="96"/>
      <c r="S85" s="186">
        <f t="shared" si="6"/>
        <v>1.0000000000065512E-5</v>
      </c>
    </row>
    <row r="86" spans="1:19">
      <c r="A86">
        <v>60</v>
      </c>
      <c r="B86" s="2" t="s">
        <v>471</v>
      </c>
      <c r="C86" s="93" t="s">
        <v>476</v>
      </c>
      <c r="D86">
        <v>0.1</v>
      </c>
      <c r="G86" s="26" t="s">
        <v>568</v>
      </c>
      <c r="H86">
        <v>0.79024000000000005</v>
      </c>
      <c r="J86" s="193">
        <v>42457.708333333336</v>
      </c>
      <c r="K86">
        <v>0.78666999999999998</v>
      </c>
      <c r="M86" s="172" t="s">
        <v>479</v>
      </c>
      <c r="N86" s="29">
        <v>35.700000000000003</v>
      </c>
      <c r="O86" s="30"/>
      <c r="P86">
        <v>5764</v>
      </c>
      <c r="Q86" s="162">
        <f t="shared" si="5"/>
        <v>386253</v>
      </c>
      <c r="R86" s="96"/>
      <c r="S86" s="186">
        <f t="shared" si="6"/>
        <v>3.5700000000000731E-3</v>
      </c>
    </row>
    <row r="87" spans="1:19">
      <c r="A87">
        <v>61</v>
      </c>
      <c r="B87" s="2" t="s">
        <v>472</v>
      </c>
      <c r="C87" s="93" t="s">
        <v>475</v>
      </c>
      <c r="D87">
        <v>0.15</v>
      </c>
      <c r="G87" s="26" t="s">
        <v>569</v>
      </c>
      <c r="H87">
        <v>160.24600000000001</v>
      </c>
      <c r="J87" s="193">
        <v>42458.125</v>
      </c>
      <c r="K87">
        <v>161.45400000000001</v>
      </c>
      <c r="M87" s="172" t="s">
        <v>479</v>
      </c>
      <c r="N87" s="29">
        <v>120.8</v>
      </c>
      <c r="O87" s="30"/>
      <c r="P87">
        <v>18120</v>
      </c>
      <c r="Q87" s="162">
        <f t="shared" si="5"/>
        <v>404373</v>
      </c>
      <c r="R87" s="96"/>
      <c r="S87" s="186">
        <f t="shared" si="6"/>
        <v>-1.2079999999999984</v>
      </c>
    </row>
    <row r="88" spans="1:19">
      <c r="A88">
        <v>62</v>
      </c>
      <c r="B88" s="2" t="s">
        <v>471</v>
      </c>
      <c r="C88" s="93" t="s">
        <v>476</v>
      </c>
      <c r="D88">
        <v>0.25</v>
      </c>
      <c r="G88" s="26" t="s">
        <v>570</v>
      </c>
      <c r="H88">
        <v>0.78774</v>
      </c>
      <c r="J88" s="193">
        <v>42458.333333333336</v>
      </c>
      <c r="K88">
        <v>0.78673000000000004</v>
      </c>
      <c r="M88" s="172" t="s">
        <v>479</v>
      </c>
      <c r="N88" s="29">
        <v>10.1</v>
      </c>
      <c r="O88" s="30"/>
      <c r="P88">
        <v>4079</v>
      </c>
      <c r="Q88" s="162">
        <f t="shared" si="5"/>
        <v>408452</v>
      </c>
      <c r="R88" s="96"/>
      <c r="S88" s="186">
        <f t="shared" si="6"/>
        <v>1.0099999999999554E-3</v>
      </c>
    </row>
    <row r="89" spans="1:19">
      <c r="A89">
        <v>63</v>
      </c>
      <c r="B89" s="2" t="s">
        <v>473</v>
      </c>
      <c r="C89" s="93" t="s">
        <v>476</v>
      </c>
      <c r="D89">
        <v>0.25</v>
      </c>
      <c r="G89" s="26" t="s">
        <v>571</v>
      </c>
      <c r="H89">
        <v>86.063000000000002</v>
      </c>
      <c r="J89" s="193">
        <v>42458.791666666664</v>
      </c>
      <c r="K89">
        <v>86.483000000000004</v>
      </c>
      <c r="M89" s="172" t="s">
        <v>478</v>
      </c>
      <c r="O89" s="30">
        <v>-42</v>
      </c>
      <c r="P89">
        <v>-10500</v>
      </c>
      <c r="Q89" s="162">
        <f t="shared" si="5"/>
        <v>397952</v>
      </c>
      <c r="R89" s="96"/>
      <c r="S89" s="186">
        <f t="shared" si="6"/>
        <v>-0.42000000000000171</v>
      </c>
    </row>
    <row r="90" spans="1:19">
      <c r="A90">
        <v>64</v>
      </c>
      <c r="B90" s="2" t="s">
        <v>473</v>
      </c>
      <c r="C90" s="93" t="s">
        <v>476</v>
      </c>
      <c r="D90">
        <v>0.1</v>
      </c>
      <c r="G90" s="26" t="s">
        <v>572</v>
      </c>
      <c r="H90">
        <v>86.072999999999993</v>
      </c>
      <c r="J90" s="193">
        <v>42459.541666666664</v>
      </c>
      <c r="K90">
        <v>86.259</v>
      </c>
      <c r="M90" s="172" t="s">
        <v>478</v>
      </c>
      <c r="O90" s="30">
        <v>-18.600000000000001</v>
      </c>
      <c r="P90">
        <v>-1860</v>
      </c>
      <c r="Q90" s="162">
        <f t="shared" si="5"/>
        <v>396092</v>
      </c>
      <c r="R90" s="96"/>
      <c r="S90" s="186">
        <f t="shared" si="6"/>
        <v>-0.18600000000000705</v>
      </c>
    </row>
    <row r="91" spans="1:19">
      <c r="A91">
        <v>65</v>
      </c>
      <c r="B91" s="2" t="s">
        <v>474</v>
      </c>
      <c r="C91" s="93" t="s">
        <v>476</v>
      </c>
      <c r="D91">
        <v>0.25</v>
      </c>
      <c r="G91" s="26" t="s">
        <v>573</v>
      </c>
      <c r="H91">
        <v>1.87602</v>
      </c>
      <c r="J91" s="193">
        <v>42460.125</v>
      </c>
      <c r="K91">
        <v>1.87764</v>
      </c>
      <c r="M91" s="172" t="s">
        <v>478</v>
      </c>
      <c r="O91" s="30">
        <v>-16.2</v>
      </c>
      <c r="P91">
        <v>-3491</v>
      </c>
      <c r="Q91" s="162">
        <f t="shared" si="5"/>
        <v>392601</v>
      </c>
      <c r="R91" s="96"/>
      <c r="S91" s="186">
        <f t="shared" si="6"/>
        <v>-1.6199999999999548E-3</v>
      </c>
    </row>
    <row r="92" spans="1:19">
      <c r="A92">
        <v>66</v>
      </c>
      <c r="B92" s="2" t="s">
        <v>472</v>
      </c>
      <c r="C92" s="93" t="s">
        <v>476</v>
      </c>
      <c r="D92">
        <v>0.1</v>
      </c>
      <c r="G92" s="26" t="s">
        <v>574</v>
      </c>
      <c r="H92">
        <v>161.33000000000001</v>
      </c>
      <c r="J92" s="193">
        <v>42461.375</v>
      </c>
      <c r="K92">
        <v>161.33099999999999</v>
      </c>
      <c r="M92" s="172" t="s">
        <v>477</v>
      </c>
      <c r="O92" s="30">
        <v>-0.1</v>
      </c>
      <c r="P92">
        <v>-10</v>
      </c>
      <c r="Q92" s="162">
        <f t="shared" si="5"/>
        <v>392591</v>
      </c>
      <c r="R92" s="96"/>
      <c r="S92" s="186">
        <f t="shared" si="6"/>
        <v>-9.9999999997635314E-4</v>
      </c>
    </row>
    <row r="93" spans="1:19">
      <c r="J93"/>
      <c r="M93" s="172"/>
      <c r="O93" s="30"/>
      <c r="P93" s="99">
        <f>SUM(P82:P92)</f>
        <v>8748</v>
      </c>
      <c r="Q93" s="162"/>
      <c r="R93" s="96"/>
    </row>
    <row r="94" spans="1:19">
      <c r="J94"/>
      <c r="M94" s="172"/>
      <c r="O94" s="188" t="s">
        <v>480</v>
      </c>
      <c r="P94" s="189">
        <f>SUM(P93,P79,P72,P65)</f>
        <v>14517</v>
      </c>
      <c r="Q94" s="162"/>
      <c r="R94" s="96"/>
    </row>
    <row r="95" spans="1:19">
      <c r="A95" s="99" t="s">
        <v>498</v>
      </c>
      <c r="J95"/>
      <c r="M95" s="172"/>
      <c r="O95" s="30"/>
      <c r="Q95" s="162"/>
      <c r="R95" s="96"/>
    </row>
    <row r="96" spans="1:19">
      <c r="A96">
        <v>67</v>
      </c>
      <c r="B96" s="2" t="s">
        <v>482</v>
      </c>
      <c r="C96" s="93" t="s">
        <v>487</v>
      </c>
      <c r="D96">
        <v>0.2</v>
      </c>
      <c r="E96" s="28" t="s">
        <v>663</v>
      </c>
      <c r="G96" s="192">
        <v>42461.166666666664</v>
      </c>
      <c r="H96">
        <v>86.247</v>
      </c>
      <c r="J96" s="193">
        <v>42461.625</v>
      </c>
      <c r="K96">
        <v>85.602999999999994</v>
      </c>
      <c r="L96" s="28" t="s">
        <v>668</v>
      </c>
      <c r="M96" s="172" t="s">
        <v>489</v>
      </c>
      <c r="N96" s="29">
        <v>64.400000000000006</v>
      </c>
      <c r="O96" s="30"/>
      <c r="P96">
        <v>13120</v>
      </c>
      <c r="Q96" s="162">
        <f>Q92+P96</f>
        <v>405711</v>
      </c>
      <c r="R96" s="96"/>
      <c r="S96" s="186">
        <f t="shared" ref="S96:S111" si="7">SUM(H96)-K96</f>
        <v>0.64400000000000546</v>
      </c>
    </row>
    <row r="97" spans="1:19">
      <c r="A97">
        <v>68</v>
      </c>
      <c r="B97" s="2" t="s">
        <v>482</v>
      </c>
      <c r="C97" s="93" t="s">
        <v>488</v>
      </c>
      <c r="D97">
        <v>0.25</v>
      </c>
      <c r="G97" s="26" t="s">
        <v>575</v>
      </c>
      <c r="H97">
        <v>85.403999999999996</v>
      </c>
      <c r="J97" s="193">
        <v>42464.541666666664</v>
      </c>
      <c r="K97">
        <v>85.403999999999996</v>
      </c>
      <c r="M97" s="172" t="s">
        <v>490</v>
      </c>
      <c r="N97" s="29">
        <v>0</v>
      </c>
      <c r="O97" s="30"/>
      <c r="P97">
        <v>0</v>
      </c>
      <c r="Q97" s="162">
        <f t="shared" ref="Q97:Q111" si="8">Q96+P97</f>
        <v>405711</v>
      </c>
      <c r="R97" s="96"/>
      <c r="S97" s="186">
        <f t="shared" si="7"/>
        <v>0</v>
      </c>
    </row>
    <row r="98" spans="1:19">
      <c r="A98">
        <v>69</v>
      </c>
      <c r="B98" s="2" t="s">
        <v>483</v>
      </c>
      <c r="C98" s="93" t="s">
        <v>487</v>
      </c>
      <c r="D98">
        <v>0.1</v>
      </c>
      <c r="G98" s="26" t="s">
        <v>576</v>
      </c>
      <c r="H98">
        <v>1.6763399999999999</v>
      </c>
      <c r="J98" s="193">
        <v>42475.75</v>
      </c>
      <c r="K98">
        <v>1.6763300000000001</v>
      </c>
      <c r="M98" s="172" t="s">
        <v>490</v>
      </c>
      <c r="N98" s="29">
        <v>0.1</v>
      </c>
      <c r="O98" s="30"/>
      <c r="P98">
        <v>7</v>
      </c>
      <c r="Q98" s="162">
        <f t="shared" si="8"/>
        <v>405718</v>
      </c>
      <c r="R98" s="96"/>
      <c r="S98" s="186">
        <f t="shared" si="7"/>
        <v>9.9999999998434674E-6</v>
      </c>
    </row>
    <row r="99" spans="1:19">
      <c r="A99">
        <v>70</v>
      </c>
      <c r="B99" s="2" t="s">
        <v>484</v>
      </c>
      <c r="C99" s="93" t="s">
        <v>487</v>
      </c>
      <c r="D99">
        <v>0.01</v>
      </c>
      <c r="G99" s="26" t="s">
        <v>577</v>
      </c>
      <c r="H99">
        <v>1.4924200000000001</v>
      </c>
      <c r="J99" s="193">
        <v>42466.625</v>
      </c>
      <c r="K99">
        <v>1.4973399999999999</v>
      </c>
      <c r="M99" s="172" t="s">
        <v>490</v>
      </c>
      <c r="O99" s="30">
        <v>-49.2</v>
      </c>
      <c r="P99">
        <v>-412</v>
      </c>
      <c r="Q99" s="162">
        <f t="shared" si="8"/>
        <v>405306</v>
      </c>
      <c r="R99" s="96"/>
      <c r="S99" s="186">
        <f t="shared" si="7"/>
        <v>-4.9199999999998134E-3</v>
      </c>
    </row>
    <row r="100" spans="1:19">
      <c r="A100">
        <v>71</v>
      </c>
      <c r="B100" s="2" t="s">
        <v>485</v>
      </c>
      <c r="C100" s="93" t="s">
        <v>487</v>
      </c>
      <c r="D100">
        <v>0.03</v>
      </c>
      <c r="G100" s="26" t="s">
        <v>578</v>
      </c>
      <c r="H100">
        <v>0.75329999999999997</v>
      </c>
      <c r="J100" s="193">
        <v>42466.666666666664</v>
      </c>
      <c r="K100">
        <v>0.75707000000000002</v>
      </c>
      <c r="M100" s="172" t="s">
        <v>491</v>
      </c>
      <c r="O100" s="30">
        <v>-37.700000000000003</v>
      </c>
      <c r="P100">
        <v>-1245</v>
      </c>
      <c r="Q100" s="162">
        <f t="shared" si="8"/>
        <v>404061</v>
      </c>
      <c r="R100" s="96"/>
      <c r="S100" s="186">
        <f t="shared" si="7"/>
        <v>-3.7700000000000511E-3</v>
      </c>
    </row>
    <row r="101" spans="1:19">
      <c r="A101">
        <v>72</v>
      </c>
      <c r="B101" s="2" t="s">
        <v>492</v>
      </c>
      <c r="C101" s="93" t="s">
        <v>487</v>
      </c>
      <c r="D101">
        <v>0.2</v>
      </c>
      <c r="G101" s="26" t="s">
        <v>579</v>
      </c>
      <c r="H101">
        <v>0.80586999999999998</v>
      </c>
      <c r="J101" s="193">
        <v>42471.458333333336</v>
      </c>
      <c r="K101">
        <v>0.80232999999999999</v>
      </c>
      <c r="M101" s="172" t="s">
        <v>489</v>
      </c>
      <c r="N101" s="29">
        <v>35.4</v>
      </c>
      <c r="O101" s="30"/>
      <c r="P101">
        <v>10858</v>
      </c>
      <c r="Q101" s="162">
        <f t="shared" si="8"/>
        <v>414919</v>
      </c>
      <c r="R101" s="96"/>
      <c r="S101" s="186">
        <f>SUM(H101)-K101</f>
        <v>3.5399999999999876E-3</v>
      </c>
    </row>
    <row r="102" spans="1:19">
      <c r="A102">
        <v>73</v>
      </c>
      <c r="B102" s="2" t="s">
        <v>483</v>
      </c>
      <c r="C102" s="93" t="s">
        <v>487</v>
      </c>
      <c r="D102">
        <v>0.15</v>
      </c>
      <c r="E102" s="28" t="s">
        <v>663</v>
      </c>
      <c r="G102" s="26" t="s">
        <v>580</v>
      </c>
      <c r="H102">
        <v>1.66317</v>
      </c>
      <c r="J102" s="193">
        <v>42472.458333333336</v>
      </c>
      <c r="K102">
        <v>1.6632499999999999</v>
      </c>
      <c r="L102" s="28" t="s">
        <v>668</v>
      </c>
      <c r="M102" s="172" t="s">
        <v>490</v>
      </c>
      <c r="O102" s="30">
        <v>-0.8</v>
      </c>
      <c r="P102">
        <v>-89</v>
      </c>
      <c r="Q102" s="162">
        <f t="shared" si="8"/>
        <v>414830</v>
      </c>
      <c r="R102" s="96"/>
      <c r="S102" s="186">
        <f>SUM(H102)-K102</f>
        <v>-7.9999999999857963E-5</v>
      </c>
    </row>
    <row r="103" spans="1:19">
      <c r="A103">
        <v>74</v>
      </c>
      <c r="B103" s="2" t="s">
        <v>486</v>
      </c>
      <c r="C103" s="93" t="s">
        <v>487</v>
      </c>
      <c r="D103">
        <v>0.15</v>
      </c>
      <c r="E103" s="28" t="s">
        <v>663</v>
      </c>
      <c r="G103" s="26" t="s">
        <v>581</v>
      </c>
      <c r="H103">
        <v>0.97943000000000002</v>
      </c>
      <c r="J103" s="193">
        <v>42472.458333333336</v>
      </c>
      <c r="K103">
        <v>0.98636999999999997</v>
      </c>
      <c r="L103" s="28" t="s">
        <v>668</v>
      </c>
      <c r="M103" s="172" t="s">
        <v>491</v>
      </c>
      <c r="O103" s="30">
        <v>-69.400000000000006</v>
      </c>
      <c r="P103">
        <v>-8760</v>
      </c>
      <c r="Q103" s="162">
        <f t="shared" si="8"/>
        <v>406070</v>
      </c>
      <c r="R103" s="96"/>
      <c r="S103" s="186">
        <f t="shared" si="7"/>
        <v>-6.9399999999999462E-3</v>
      </c>
    </row>
    <row r="104" spans="1:19">
      <c r="A104">
        <v>75</v>
      </c>
      <c r="B104" s="2" t="s">
        <v>482</v>
      </c>
      <c r="C104" s="93" t="s">
        <v>487</v>
      </c>
      <c r="D104">
        <v>0.05</v>
      </c>
      <c r="G104" s="26" t="s">
        <v>582</v>
      </c>
      <c r="H104">
        <v>85.257000000000005</v>
      </c>
      <c r="J104" s="193">
        <v>42473.5</v>
      </c>
      <c r="K104">
        <v>85.403999999999996</v>
      </c>
      <c r="M104" s="172" t="s">
        <v>490</v>
      </c>
      <c r="O104" s="30">
        <v>-14.7</v>
      </c>
      <c r="P104">
        <v>-735</v>
      </c>
      <c r="Q104" s="162">
        <f t="shared" si="8"/>
        <v>405335</v>
      </c>
      <c r="R104" s="96"/>
      <c r="S104" s="186">
        <f>SUM(H104)-K104</f>
        <v>-0.14699999999999136</v>
      </c>
    </row>
    <row r="105" spans="1:19">
      <c r="A105">
        <v>76</v>
      </c>
      <c r="B105" s="2" t="s">
        <v>493</v>
      </c>
      <c r="C105" s="93" t="s">
        <v>488</v>
      </c>
      <c r="D105">
        <v>0.12</v>
      </c>
      <c r="E105" s="28" t="s">
        <v>663</v>
      </c>
      <c r="G105" s="26" t="s">
        <v>583</v>
      </c>
      <c r="H105">
        <v>109.143</v>
      </c>
      <c r="J105" s="193">
        <v>42474.458333333336</v>
      </c>
      <c r="K105">
        <v>109.17700000000001</v>
      </c>
      <c r="L105" s="28" t="s">
        <v>668</v>
      </c>
      <c r="M105" s="172" t="s">
        <v>490</v>
      </c>
      <c r="N105" s="29">
        <v>3.4</v>
      </c>
      <c r="O105" s="30"/>
      <c r="P105">
        <v>408</v>
      </c>
      <c r="Q105" s="162">
        <f t="shared" si="8"/>
        <v>405743</v>
      </c>
      <c r="R105" s="96"/>
      <c r="S105" s="186">
        <f t="shared" si="7"/>
        <v>-3.4000000000006025E-2</v>
      </c>
    </row>
    <row r="106" spans="1:19">
      <c r="A106">
        <v>77</v>
      </c>
      <c r="B106" s="2" t="s">
        <v>494</v>
      </c>
      <c r="C106" s="93" t="s">
        <v>487</v>
      </c>
      <c r="D106">
        <v>0.3</v>
      </c>
      <c r="E106" s="28" t="s">
        <v>663</v>
      </c>
      <c r="G106" s="26" t="s">
        <v>584</v>
      </c>
      <c r="H106">
        <v>75.013000000000005</v>
      </c>
      <c r="J106" s="193">
        <v>42474.25</v>
      </c>
      <c r="K106">
        <v>74.929000000000002</v>
      </c>
      <c r="L106" s="28" t="s">
        <v>668</v>
      </c>
      <c r="M106" s="172" t="s">
        <v>489</v>
      </c>
      <c r="N106" s="29">
        <v>8.4</v>
      </c>
      <c r="O106" s="30"/>
      <c r="P106">
        <v>2520</v>
      </c>
      <c r="Q106" s="162">
        <f t="shared" si="8"/>
        <v>408263</v>
      </c>
      <c r="R106" s="96"/>
      <c r="S106" s="186">
        <f t="shared" si="7"/>
        <v>8.4000000000003183E-2</v>
      </c>
    </row>
    <row r="107" spans="1:19">
      <c r="A107">
        <v>78</v>
      </c>
      <c r="B107" s="2" t="s">
        <v>495</v>
      </c>
      <c r="C107" s="93" t="s">
        <v>487</v>
      </c>
      <c r="D107">
        <v>0.3</v>
      </c>
      <c r="G107" s="26" t="s">
        <v>585</v>
      </c>
      <c r="H107">
        <v>0.96597</v>
      </c>
      <c r="J107" s="193">
        <v>42474.708333333336</v>
      </c>
      <c r="K107">
        <v>0.96745000000000003</v>
      </c>
      <c r="M107" s="172" t="s">
        <v>491</v>
      </c>
      <c r="O107" s="30">
        <v>-14.8</v>
      </c>
      <c r="P107">
        <v>-5011</v>
      </c>
      <c r="Q107" s="162">
        <f t="shared" si="8"/>
        <v>403252</v>
      </c>
      <c r="R107" s="96"/>
      <c r="S107" s="186">
        <f t="shared" si="7"/>
        <v>-1.4800000000000368E-3</v>
      </c>
    </row>
    <row r="108" spans="1:19">
      <c r="A108">
        <v>79</v>
      </c>
      <c r="B108" s="2" t="s">
        <v>495</v>
      </c>
      <c r="C108" s="93" t="s">
        <v>487</v>
      </c>
      <c r="D108">
        <v>0.15</v>
      </c>
      <c r="E108" s="28" t="s">
        <v>663</v>
      </c>
      <c r="G108" s="26" t="s">
        <v>586</v>
      </c>
      <c r="H108">
        <v>0.96645999999999999</v>
      </c>
      <c r="J108" s="193">
        <v>42474.666666666664</v>
      </c>
      <c r="K108">
        <v>0.96582999999999997</v>
      </c>
      <c r="L108" s="28" t="s">
        <v>668</v>
      </c>
      <c r="M108" s="172" t="s">
        <v>489</v>
      </c>
      <c r="N108" s="29">
        <v>6.3</v>
      </c>
      <c r="O108" s="30"/>
      <c r="P108">
        <v>1070</v>
      </c>
      <c r="Q108" s="162">
        <f t="shared" si="8"/>
        <v>404322</v>
      </c>
      <c r="R108" s="96"/>
      <c r="S108" s="186">
        <f t="shared" si="7"/>
        <v>6.3000000000001943E-4</v>
      </c>
    </row>
    <row r="109" spans="1:19">
      <c r="A109">
        <v>80</v>
      </c>
      <c r="B109" s="2" t="s">
        <v>496</v>
      </c>
      <c r="C109" s="93" t="s">
        <v>488</v>
      </c>
      <c r="D109">
        <v>0.15</v>
      </c>
      <c r="E109" s="28" t="s">
        <v>663</v>
      </c>
      <c r="G109" s="26" t="s">
        <v>587</v>
      </c>
      <c r="H109">
        <v>1.8237000000000001</v>
      </c>
      <c r="J109" s="193">
        <v>42475.708333333336</v>
      </c>
      <c r="K109">
        <v>1.82959</v>
      </c>
      <c r="L109" s="28" t="s">
        <v>668</v>
      </c>
      <c r="M109" s="172" t="s">
        <v>489</v>
      </c>
      <c r="N109" s="29">
        <v>58.9</v>
      </c>
      <c r="O109" s="30"/>
      <c r="P109">
        <v>7443</v>
      </c>
      <c r="Q109" s="162">
        <f t="shared" si="8"/>
        <v>411765</v>
      </c>
      <c r="R109" s="96"/>
      <c r="S109" s="186">
        <f t="shared" si="7"/>
        <v>-5.8899999999999508E-3</v>
      </c>
    </row>
    <row r="110" spans="1:19">
      <c r="A110">
        <v>81</v>
      </c>
      <c r="B110" s="2" t="s">
        <v>497</v>
      </c>
      <c r="C110" s="93" t="s">
        <v>488</v>
      </c>
      <c r="D110">
        <v>0.1</v>
      </c>
      <c r="E110" s="28" t="s">
        <v>663</v>
      </c>
      <c r="G110" s="26" t="s">
        <v>588</v>
      </c>
      <c r="H110">
        <v>1.4636100000000001</v>
      </c>
      <c r="J110" s="193">
        <v>42475.708333333336</v>
      </c>
      <c r="K110">
        <v>1.4700800000000001</v>
      </c>
      <c r="L110" s="28" t="s">
        <v>668</v>
      </c>
      <c r="M110" s="172" t="s">
        <v>489</v>
      </c>
      <c r="N110" s="29">
        <v>64.7</v>
      </c>
      <c r="O110" s="30"/>
      <c r="P110">
        <v>5410</v>
      </c>
      <c r="Q110" s="162">
        <f t="shared" si="8"/>
        <v>417175</v>
      </c>
      <c r="R110" s="96"/>
      <c r="S110" s="186">
        <f>SUM(H110)-K110</f>
        <v>-6.4699999999999758E-3</v>
      </c>
    </row>
    <row r="111" spans="1:19">
      <c r="A111">
        <v>82</v>
      </c>
      <c r="B111" s="2" t="s">
        <v>497</v>
      </c>
      <c r="C111" s="93" t="s">
        <v>488</v>
      </c>
      <c r="D111">
        <v>0.3</v>
      </c>
      <c r="E111" s="28" t="s">
        <v>663</v>
      </c>
      <c r="G111" s="26" t="s">
        <v>589</v>
      </c>
      <c r="H111">
        <v>1.46593</v>
      </c>
      <c r="J111" s="193">
        <v>42475.708333333336</v>
      </c>
      <c r="K111">
        <v>1.4700800000000001</v>
      </c>
      <c r="L111" s="28" t="s">
        <v>668</v>
      </c>
      <c r="M111" s="172" t="s">
        <v>489</v>
      </c>
      <c r="N111" s="29">
        <v>41.5</v>
      </c>
      <c r="O111" s="30"/>
      <c r="P111">
        <v>10409</v>
      </c>
      <c r="Q111" s="162">
        <f t="shared" si="8"/>
        <v>427584</v>
      </c>
      <c r="R111" s="96"/>
      <c r="S111" s="186">
        <f t="shared" si="7"/>
        <v>-4.1500000000000981E-3</v>
      </c>
    </row>
    <row r="112" spans="1:19">
      <c r="J112"/>
      <c r="M112" s="234" t="s">
        <v>499</v>
      </c>
      <c r="O112" s="30"/>
      <c r="P112" s="99">
        <f>SUM(P96:P111)</f>
        <v>34993</v>
      </c>
      <c r="Q112" s="162"/>
      <c r="R112" s="96"/>
    </row>
    <row r="113" spans="1:19">
      <c r="J113"/>
      <c r="M113" s="172"/>
      <c r="O113" s="30"/>
      <c r="P113" s="99"/>
      <c r="Q113" s="162"/>
      <c r="R113" s="96"/>
    </row>
    <row r="114" spans="1:19">
      <c r="A114">
        <v>83</v>
      </c>
      <c r="B114" s="2" t="s">
        <v>657</v>
      </c>
      <c r="C114" s="93" t="s">
        <v>661</v>
      </c>
      <c r="D114">
        <v>0.35</v>
      </c>
      <c r="E114" s="28" t="s">
        <v>663</v>
      </c>
      <c r="G114" s="26" t="s">
        <v>689</v>
      </c>
      <c r="H114">
        <v>85.021000000000001</v>
      </c>
      <c r="J114" s="193">
        <v>42479.916666666664</v>
      </c>
      <c r="K114">
        <v>85.403999999999996</v>
      </c>
      <c r="L114" s="28" t="s">
        <v>668</v>
      </c>
      <c r="M114" s="172" t="s">
        <v>669</v>
      </c>
      <c r="O114" s="30">
        <v>-38.299999999999997</v>
      </c>
      <c r="P114" s="157">
        <v>-12460</v>
      </c>
      <c r="Q114" s="162">
        <f>Q111+P114</f>
        <v>415124</v>
      </c>
      <c r="R114" s="96"/>
      <c r="S114" s="186">
        <f t="shared" ref="S114:S118" si="9">SUM(H114)-K114</f>
        <v>-0.38299999999999557</v>
      </c>
    </row>
    <row r="115" spans="1:19">
      <c r="A115">
        <v>84</v>
      </c>
      <c r="B115" s="2" t="s">
        <v>657</v>
      </c>
      <c r="C115" s="93" t="s">
        <v>661</v>
      </c>
      <c r="D115">
        <v>0.35</v>
      </c>
      <c r="E115" s="28" t="s">
        <v>663</v>
      </c>
      <c r="G115" s="26" t="s">
        <v>689</v>
      </c>
      <c r="H115">
        <v>85.048000000000002</v>
      </c>
      <c r="J115" s="193">
        <v>42479.916666666664</v>
      </c>
      <c r="K115">
        <v>85.403999999999996</v>
      </c>
      <c r="L115" s="28" t="s">
        <v>668</v>
      </c>
      <c r="M115" s="172" t="s">
        <v>669</v>
      </c>
      <c r="O115" s="30">
        <v>-35.6</v>
      </c>
      <c r="P115" s="157">
        <v>-13405</v>
      </c>
      <c r="Q115" s="162">
        <f t="shared" ref="Q115:Q122" si="10">Q114+P115</f>
        <v>401719</v>
      </c>
      <c r="R115" s="96"/>
      <c r="S115" s="186">
        <f t="shared" si="9"/>
        <v>-0.35599999999999454</v>
      </c>
    </row>
    <row r="116" spans="1:19">
      <c r="A116">
        <v>85</v>
      </c>
      <c r="B116" s="2" t="s">
        <v>658</v>
      </c>
      <c r="C116" s="93" t="s">
        <v>661</v>
      </c>
      <c r="D116">
        <v>0.25</v>
      </c>
      <c r="E116" s="28" t="s">
        <v>663</v>
      </c>
      <c r="G116" s="26" t="s">
        <v>690</v>
      </c>
      <c r="H116">
        <v>1.62009</v>
      </c>
      <c r="J116" s="193">
        <v>42480.458333333336</v>
      </c>
      <c r="K116">
        <v>1.6197299999999999</v>
      </c>
      <c r="L116" s="28" t="s">
        <v>668</v>
      </c>
      <c r="M116" s="172" t="s">
        <v>670</v>
      </c>
      <c r="N116" s="29">
        <v>3.6</v>
      </c>
      <c r="O116" s="30"/>
      <c r="P116" s="157">
        <v>-687</v>
      </c>
      <c r="Q116" s="162">
        <f t="shared" si="10"/>
        <v>401032</v>
      </c>
      <c r="R116" s="96"/>
      <c r="S116" s="186">
        <f t="shared" si="9"/>
        <v>3.6000000000013799E-4</v>
      </c>
    </row>
    <row r="117" spans="1:19">
      <c r="A117">
        <v>86</v>
      </c>
      <c r="B117" s="2" t="s">
        <v>659</v>
      </c>
      <c r="C117" s="93" t="s">
        <v>662</v>
      </c>
      <c r="D117">
        <v>0.25</v>
      </c>
      <c r="E117" s="28" t="s">
        <v>663</v>
      </c>
      <c r="G117" s="26" t="s">
        <v>690</v>
      </c>
      <c r="H117">
        <v>0.70186000000000004</v>
      </c>
      <c r="J117" s="193">
        <v>42480.333333333336</v>
      </c>
      <c r="K117">
        <v>0.70032000000000005</v>
      </c>
      <c r="L117" s="28" t="s">
        <v>668</v>
      </c>
      <c r="M117" s="172" t="s">
        <v>671</v>
      </c>
      <c r="N117" s="29">
        <v>15.4</v>
      </c>
      <c r="O117" s="30"/>
      <c r="P117" s="157">
        <v>4194</v>
      </c>
      <c r="Q117" s="162">
        <f t="shared" si="10"/>
        <v>405226</v>
      </c>
      <c r="R117" s="96"/>
      <c r="S117" s="186">
        <f t="shared" si="9"/>
        <v>1.5399999999999858E-3</v>
      </c>
    </row>
    <row r="118" spans="1:19">
      <c r="A118">
        <v>87</v>
      </c>
      <c r="B118" s="2" t="s">
        <v>660</v>
      </c>
      <c r="C118" s="93" t="s">
        <v>662</v>
      </c>
      <c r="D118">
        <v>0.4</v>
      </c>
      <c r="E118" s="28" t="s">
        <v>663</v>
      </c>
      <c r="G118" s="26" t="s">
        <v>691</v>
      </c>
      <c r="H118">
        <v>1.43103</v>
      </c>
      <c r="J118" s="193">
        <v>42481.583333333336</v>
      </c>
      <c r="K118">
        <v>1.4330700000000001</v>
      </c>
      <c r="L118" s="28" t="s">
        <v>668</v>
      </c>
      <c r="M118" s="172" t="s">
        <v>671</v>
      </c>
      <c r="N118" s="29">
        <v>20.399999999999999</v>
      </c>
      <c r="O118" s="30"/>
      <c r="P118" s="157">
        <v>7072</v>
      </c>
      <c r="Q118" s="162">
        <f t="shared" si="10"/>
        <v>412298</v>
      </c>
      <c r="R118" s="96"/>
      <c r="S118" s="186">
        <f t="shared" si="9"/>
        <v>-2.0400000000000418E-3</v>
      </c>
    </row>
    <row r="119" spans="1:19">
      <c r="A119">
        <v>88</v>
      </c>
      <c r="B119" s="2" t="s">
        <v>675</v>
      </c>
      <c r="C119" s="93" t="s">
        <v>676</v>
      </c>
      <c r="D119">
        <v>0.25</v>
      </c>
      <c r="E119" s="28" t="s">
        <v>663</v>
      </c>
      <c r="G119" s="193">
        <v>42481.666666666664</v>
      </c>
      <c r="H119">
        <v>0.67386999999999997</v>
      </c>
      <c r="J119" s="193">
        <v>42486.5</v>
      </c>
      <c r="K119">
        <v>0.67168000000000005</v>
      </c>
      <c r="L119" s="28" t="s">
        <v>686</v>
      </c>
      <c r="M119" s="172" t="s">
        <v>677</v>
      </c>
      <c r="N119" s="29">
        <v>21.9</v>
      </c>
      <c r="O119" s="30"/>
      <c r="P119" s="157">
        <v>256</v>
      </c>
      <c r="Q119" s="162">
        <f t="shared" si="10"/>
        <v>412554</v>
      </c>
      <c r="R119" s="96"/>
      <c r="S119" s="186">
        <f t="shared" ref="S119:S122" si="11">SUM(H119)-K119</f>
        <v>2.1899999999999142E-3</v>
      </c>
    </row>
    <row r="120" spans="1:19">
      <c r="A120">
        <v>89</v>
      </c>
      <c r="B120" s="2" t="s">
        <v>680</v>
      </c>
      <c r="C120" s="93" t="s">
        <v>676</v>
      </c>
      <c r="D120">
        <v>0.8</v>
      </c>
      <c r="E120" s="28" t="s">
        <v>684</v>
      </c>
      <c r="G120" s="193">
        <v>42481.666666666664</v>
      </c>
      <c r="H120">
        <v>111.599</v>
      </c>
      <c r="J120" s="193">
        <v>42481.666666666664</v>
      </c>
      <c r="K120">
        <v>111.357</v>
      </c>
      <c r="L120" s="28" t="s">
        <v>668</v>
      </c>
      <c r="M120" s="172" t="s">
        <v>678</v>
      </c>
      <c r="N120" s="29">
        <v>24.2</v>
      </c>
      <c r="O120" s="30"/>
      <c r="P120" s="157">
        <v>19360</v>
      </c>
      <c r="Q120" s="162">
        <f t="shared" si="10"/>
        <v>431914</v>
      </c>
      <c r="R120" s="96"/>
      <c r="S120" s="186">
        <f t="shared" si="11"/>
        <v>0.24200000000000443</v>
      </c>
    </row>
    <row r="121" spans="1:19">
      <c r="A121">
        <v>90</v>
      </c>
      <c r="B121" s="2" t="s">
        <v>681</v>
      </c>
      <c r="C121" s="93" t="s">
        <v>676</v>
      </c>
      <c r="D121">
        <v>0.3</v>
      </c>
      <c r="E121" s="28" t="s">
        <v>663</v>
      </c>
      <c r="G121" s="193">
        <v>42481.666666666664</v>
      </c>
      <c r="H121" s="93">
        <v>1.1201700000000001</v>
      </c>
      <c r="J121" s="193">
        <v>42481.666666666664</v>
      </c>
      <c r="K121">
        <v>1.1257699999999999</v>
      </c>
      <c r="L121" s="28" t="s">
        <v>688</v>
      </c>
      <c r="M121" s="172" t="s">
        <v>679</v>
      </c>
      <c r="O121" s="30">
        <v>-56</v>
      </c>
      <c r="P121" s="157">
        <v>-12885</v>
      </c>
      <c r="Q121" s="162">
        <f t="shared" si="10"/>
        <v>419029</v>
      </c>
      <c r="R121" s="96"/>
      <c r="S121" s="186">
        <f t="shared" si="11"/>
        <v>-5.5999999999998273E-3</v>
      </c>
    </row>
    <row r="122" spans="1:19">
      <c r="A122">
        <v>91</v>
      </c>
      <c r="B122" s="2" t="s">
        <v>682</v>
      </c>
      <c r="C122" s="93" t="s">
        <v>683</v>
      </c>
      <c r="D122">
        <v>0.4</v>
      </c>
      <c r="E122" s="28" t="s">
        <v>685</v>
      </c>
      <c r="G122" s="193">
        <v>42481.666666666664</v>
      </c>
      <c r="H122">
        <v>85.807000000000002</v>
      </c>
      <c r="J122" s="193">
        <v>42481.666666666664</v>
      </c>
      <c r="K122">
        <v>85.456000000000003</v>
      </c>
      <c r="L122" s="28" t="s">
        <v>687</v>
      </c>
      <c r="M122" s="172" t="s">
        <v>679</v>
      </c>
      <c r="O122" s="30">
        <v>-35.1</v>
      </c>
      <c r="P122" s="157">
        <v>-14040</v>
      </c>
      <c r="Q122" s="162">
        <f t="shared" si="10"/>
        <v>404989</v>
      </c>
      <c r="R122" s="96"/>
      <c r="S122" s="186">
        <f t="shared" si="11"/>
        <v>0.35099999999999909</v>
      </c>
    </row>
    <row r="123" spans="1:19">
      <c r="J123" s="150"/>
      <c r="M123" s="234" t="s">
        <v>692</v>
      </c>
      <c r="O123" s="30"/>
      <c r="P123" s="99">
        <f>SUM(P114:P122)</f>
        <v>-22595</v>
      </c>
      <c r="Q123" s="162"/>
      <c r="R123" s="96"/>
    </row>
    <row r="124" spans="1:19">
      <c r="J124" s="150"/>
      <c r="L124" s="236" t="s">
        <v>693</v>
      </c>
      <c r="M124" s="237" t="s">
        <v>694</v>
      </c>
      <c r="N124" s="238"/>
      <c r="O124" s="235"/>
      <c r="P124" s="189">
        <f>SUM(P123,P112)</f>
        <v>12398</v>
      </c>
      <c r="Q124" s="162"/>
      <c r="R124" s="96"/>
    </row>
    <row r="125" spans="1:19">
      <c r="J125" s="150"/>
      <c r="M125" s="172"/>
      <c r="O125" s="30"/>
      <c r="Q125" s="162"/>
      <c r="R125" s="96"/>
    </row>
    <row r="126" spans="1:19">
      <c r="J126" s="150"/>
      <c r="M126" s="172"/>
      <c r="O126" s="30"/>
      <c r="Q126" s="162"/>
      <c r="R126" s="96"/>
    </row>
    <row r="127" spans="1:19">
      <c r="J127" s="150"/>
      <c r="M127" s="172"/>
      <c r="O127" s="30"/>
      <c r="Q127" s="162"/>
      <c r="R127" s="96"/>
    </row>
    <row r="128" spans="1:19">
      <c r="J128" s="150"/>
      <c r="M128" s="172"/>
      <c r="O128" s="30"/>
      <c r="Q128" s="162"/>
      <c r="R128" s="96"/>
    </row>
    <row r="129" spans="4:18">
      <c r="J129" s="150"/>
      <c r="O129" s="30"/>
      <c r="R129" s="96"/>
    </row>
    <row r="130" spans="4:18">
      <c r="N130" s="30"/>
      <c r="O130" s="30"/>
    </row>
    <row r="131" spans="4:18" ht="13.5" customHeight="1" thickBot="1"/>
    <row r="132" spans="4:18" ht="13.5" customHeight="1" thickBot="1">
      <c r="D132" s="217" t="s">
        <v>88</v>
      </c>
      <c r="E132" s="218"/>
      <c r="F132" s="219"/>
      <c r="G132" s="220"/>
      <c r="H132" s="33"/>
      <c r="I132" s="33"/>
      <c r="J132" s="34"/>
      <c r="L132" s="213" t="s">
        <v>89</v>
      </c>
      <c r="M132" s="214"/>
      <c r="N132" s="35" t="s">
        <v>90</v>
      </c>
      <c r="O132" s="36" t="s">
        <v>91</v>
      </c>
    </row>
    <row r="133" spans="4:18">
      <c r="D133" s="37" t="s">
        <v>92</v>
      </c>
      <c r="E133" s="38"/>
      <c r="F133" s="215"/>
      <c r="G133" s="216"/>
      <c r="H133" s="39"/>
      <c r="I133" s="39"/>
      <c r="J133" s="40"/>
      <c r="L133" s="41"/>
      <c r="M133" s="42"/>
      <c r="N133" s="43"/>
      <c r="O133" s="44"/>
      <c r="P133" s="31"/>
    </row>
    <row r="134" spans="4:18">
      <c r="D134" s="45" t="s">
        <v>93</v>
      </c>
      <c r="E134" s="46"/>
      <c r="F134" s="215"/>
      <c r="G134" s="216"/>
      <c r="H134" s="39"/>
      <c r="I134" s="39"/>
      <c r="J134" s="32"/>
      <c r="L134" s="47"/>
      <c r="M134" s="48"/>
      <c r="N134" s="49"/>
      <c r="O134" s="50"/>
    </row>
    <row r="135" spans="4:18">
      <c r="D135" s="45" t="s">
        <v>94</v>
      </c>
      <c r="E135" s="46"/>
      <c r="F135" s="215"/>
      <c r="G135" s="216"/>
      <c r="H135" s="39"/>
      <c r="I135" s="39"/>
      <c r="J135" s="40"/>
      <c r="L135" s="47"/>
      <c r="M135" s="48"/>
      <c r="N135" s="49"/>
      <c r="O135" s="51"/>
    </row>
    <row r="136" spans="4:18">
      <c r="D136" s="45" t="s">
        <v>95</v>
      </c>
      <c r="E136" s="46"/>
      <c r="F136" s="215"/>
      <c r="G136" s="216"/>
      <c r="H136" s="39"/>
      <c r="I136" s="39"/>
      <c r="J136" s="40"/>
      <c r="L136" s="47"/>
      <c r="M136" s="48"/>
      <c r="N136" s="49"/>
      <c r="O136" s="51"/>
    </row>
    <row r="137" spans="4:18">
      <c r="D137" s="45" t="s">
        <v>96</v>
      </c>
      <c r="E137" s="46"/>
      <c r="F137" s="215"/>
      <c r="G137" s="216"/>
      <c r="H137" s="39"/>
      <c r="I137" s="39"/>
      <c r="J137" s="40"/>
      <c r="L137" s="47"/>
      <c r="M137" s="48"/>
      <c r="N137" s="49"/>
      <c r="O137" s="51"/>
    </row>
    <row r="138" spans="4:18">
      <c r="D138" s="45" t="s">
        <v>97</v>
      </c>
      <c r="E138" s="52"/>
      <c r="F138" s="215"/>
      <c r="G138" s="216"/>
      <c r="H138" s="39"/>
      <c r="I138" s="39"/>
      <c r="J138" s="40"/>
      <c r="L138" s="47"/>
      <c r="M138" s="48"/>
      <c r="N138" s="49"/>
      <c r="O138" s="51"/>
    </row>
    <row r="139" spans="4:18">
      <c r="D139" s="45" t="s">
        <v>98</v>
      </c>
      <c r="E139" s="46"/>
      <c r="F139" s="215"/>
      <c r="G139" s="216"/>
      <c r="H139" s="39"/>
      <c r="I139" s="39"/>
      <c r="J139" s="40"/>
      <c r="L139" s="47"/>
      <c r="M139" s="48"/>
      <c r="N139" s="49"/>
      <c r="O139" s="51"/>
    </row>
    <row r="140" spans="4:18">
      <c r="D140" s="53" t="s">
        <v>99</v>
      </c>
      <c r="E140" s="54"/>
      <c r="F140" s="221"/>
      <c r="G140" s="222"/>
      <c r="H140" s="39"/>
      <c r="I140" s="39"/>
      <c r="J140" s="40"/>
      <c r="L140" s="47"/>
      <c r="M140" s="48"/>
      <c r="N140" s="49"/>
      <c r="O140" s="51"/>
    </row>
    <row r="141" spans="4:18">
      <c r="D141" s="45" t="s">
        <v>100</v>
      </c>
      <c r="E141" s="46"/>
      <c r="F141" s="215"/>
      <c r="G141" s="216"/>
      <c r="H141" s="39"/>
      <c r="I141" s="39"/>
      <c r="J141" s="40"/>
      <c r="L141" s="47"/>
      <c r="M141" s="48"/>
      <c r="N141" s="49"/>
      <c r="O141" s="51"/>
    </row>
    <row r="142" spans="4:18">
      <c r="D142" s="45" t="s">
        <v>101</v>
      </c>
      <c r="E142" s="52"/>
      <c r="F142" s="215"/>
      <c r="G142" s="216"/>
      <c r="H142" s="39"/>
      <c r="I142" s="39"/>
      <c r="J142" s="40"/>
      <c r="L142" s="47"/>
      <c r="M142" s="48"/>
      <c r="N142" s="49"/>
      <c r="O142" s="51"/>
    </row>
    <row r="143" spans="4:18">
      <c r="D143" s="45" t="s">
        <v>102</v>
      </c>
      <c r="E143" s="46"/>
      <c r="F143" s="215"/>
      <c r="G143" s="216"/>
      <c r="H143" s="39"/>
      <c r="I143" s="39"/>
      <c r="J143" s="40"/>
      <c r="L143" s="41"/>
      <c r="M143" s="42"/>
      <c r="N143" s="43"/>
      <c r="O143" s="55"/>
    </row>
    <row r="144" spans="4:18">
      <c r="D144" s="45" t="s">
        <v>103</v>
      </c>
      <c r="E144" s="56"/>
      <c r="F144" s="215"/>
      <c r="G144" s="216"/>
      <c r="H144" s="39"/>
      <c r="I144" s="39"/>
      <c r="J144" s="40"/>
      <c r="L144" s="47"/>
      <c r="M144" s="48"/>
      <c r="N144" s="49"/>
      <c r="O144" s="51"/>
    </row>
    <row r="145" spans="4:15">
      <c r="D145" s="45" t="s">
        <v>104</v>
      </c>
      <c r="E145" s="56"/>
      <c r="F145" s="215"/>
      <c r="G145" s="216"/>
      <c r="H145" s="39"/>
      <c r="I145" s="39"/>
      <c r="J145" s="40"/>
      <c r="L145" s="47"/>
      <c r="M145" s="48"/>
      <c r="N145" s="49"/>
      <c r="O145" s="51"/>
    </row>
    <row r="146" spans="4:15">
      <c r="D146" s="45" t="s">
        <v>105</v>
      </c>
      <c r="E146" s="46"/>
      <c r="F146" s="215"/>
      <c r="G146" s="216"/>
      <c r="H146" s="39"/>
      <c r="I146" s="39"/>
      <c r="J146" s="40"/>
      <c r="L146" s="47"/>
      <c r="M146" s="48"/>
      <c r="N146" s="49"/>
      <c r="O146" s="51"/>
    </row>
    <row r="147" spans="4:15">
      <c r="D147" s="45" t="s">
        <v>106</v>
      </c>
      <c r="E147" s="46"/>
      <c r="F147" s="215"/>
      <c r="G147" s="216"/>
      <c r="H147" s="39"/>
      <c r="I147" s="39"/>
      <c r="J147" s="40"/>
      <c r="L147" s="47"/>
      <c r="M147" s="48"/>
      <c r="N147" s="49"/>
      <c r="O147" s="51"/>
    </row>
    <row r="148" spans="4:15">
      <c r="D148" s="45" t="s">
        <v>107</v>
      </c>
      <c r="E148" s="57"/>
      <c r="F148" s="215"/>
      <c r="G148" s="216"/>
      <c r="H148" s="39"/>
      <c r="I148" s="39"/>
      <c r="J148" s="40"/>
      <c r="L148" s="47"/>
      <c r="M148" s="48"/>
      <c r="N148" s="49"/>
      <c r="O148" s="51"/>
    </row>
    <row r="149" spans="4:15" ht="14.25" thickBot="1">
      <c r="D149" s="58" t="s">
        <v>108</v>
      </c>
      <c r="E149" s="59"/>
      <c r="F149" s="211"/>
      <c r="G149" s="212"/>
      <c r="H149" s="39"/>
      <c r="I149" s="39"/>
      <c r="J149" s="40"/>
      <c r="L149" s="47"/>
      <c r="M149" s="48"/>
      <c r="N149" s="49"/>
      <c r="O149" s="51"/>
    </row>
    <row r="150" spans="4:15">
      <c r="G150" s="60"/>
      <c r="H150" s="39"/>
      <c r="I150" s="39"/>
      <c r="J150" s="40"/>
      <c r="L150" s="47"/>
      <c r="M150" s="48"/>
      <c r="N150" s="49"/>
      <c r="O150" s="51"/>
    </row>
    <row r="151" spans="4:15" ht="14.25" thickBot="1">
      <c r="G151" s="60"/>
      <c r="H151" s="39"/>
      <c r="I151" s="39"/>
      <c r="J151" s="40"/>
      <c r="L151" s="61"/>
      <c r="M151" s="62"/>
      <c r="N151" s="63"/>
      <c r="O151" s="64"/>
    </row>
    <row r="152" spans="4:15" ht="14.25" thickBot="1">
      <c r="G152" s="60"/>
      <c r="H152" s="39"/>
      <c r="I152" s="39"/>
      <c r="J152" s="40"/>
      <c r="L152" s="65" t="s">
        <v>87</v>
      </c>
      <c r="M152" s="66">
        <f>SUM(M133:M151)</f>
        <v>0</v>
      </c>
      <c r="N152" s="67">
        <f>SUM(N133:N151)</f>
        <v>0</v>
      </c>
      <c r="O152" s="68">
        <f>SUM(O133:O151)</f>
        <v>0</v>
      </c>
    </row>
    <row r="154" spans="4:15" ht="13.5" customHeight="1" thickBot="1"/>
    <row r="155" spans="4:15" ht="13.5" customHeight="1" thickBot="1">
      <c r="G155" s="213" t="s">
        <v>109</v>
      </c>
      <c r="H155" s="214"/>
      <c r="I155" s="69" t="s">
        <v>90</v>
      </c>
      <c r="J155" s="70" t="s">
        <v>91</v>
      </c>
      <c r="K155" s="71" t="s">
        <v>110</v>
      </c>
    </row>
    <row r="156" spans="4:15">
      <c r="G156" s="72" t="s">
        <v>111</v>
      </c>
      <c r="H156" s="42">
        <v>0</v>
      </c>
      <c r="I156" s="73">
        <v>0</v>
      </c>
      <c r="J156" s="74">
        <v>0</v>
      </c>
      <c r="K156" s="75">
        <v>0</v>
      </c>
    </row>
    <row r="157" spans="4:15">
      <c r="G157" s="76" t="s">
        <v>112</v>
      </c>
      <c r="H157" s="48">
        <v>0</v>
      </c>
      <c r="I157" s="48">
        <v>0</v>
      </c>
      <c r="J157" s="77">
        <v>0</v>
      </c>
      <c r="K157" s="78">
        <v>0</v>
      </c>
    </row>
    <row r="158" spans="4:15">
      <c r="G158" s="76" t="s">
        <v>113</v>
      </c>
      <c r="H158" s="48">
        <v>0</v>
      </c>
      <c r="I158" s="48">
        <v>0</v>
      </c>
      <c r="J158" s="77">
        <v>0</v>
      </c>
      <c r="K158" s="78">
        <v>0</v>
      </c>
    </row>
    <row r="159" spans="4:15">
      <c r="G159" s="76" t="s">
        <v>114</v>
      </c>
      <c r="H159" s="48">
        <v>0</v>
      </c>
      <c r="I159" s="48">
        <v>0</v>
      </c>
      <c r="J159" s="77">
        <v>0</v>
      </c>
      <c r="K159" s="78">
        <v>0</v>
      </c>
    </row>
    <row r="160" spans="4:15" ht="14.25" thickBot="1">
      <c r="G160" s="79" t="s">
        <v>115</v>
      </c>
      <c r="H160" s="80">
        <v>0</v>
      </c>
      <c r="I160" s="80">
        <v>0</v>
      </c>
      <c r="J160" s="81">
        <v>0</v>
      </c>
      <c r="K160" s="82">
        <v>0</v>
      </c>
    </row>
    <row r="161" spans="7:11" ht="14.25" thickBot="1">
      <c r="G161" s="83" t="s">
        <v>87</v>
      </c>
      <c r="H161" s="84"/>
      <c r="I161" s="84"/>
      <c r="J161" s="77"/>
      <c r="K161" s="85">
        <f>SUM(K156:K160)</f>
        <v>0</v>
      </c>
    </row>
  </sheetData>
  <autoFilter ref="A1:Q129"/>
  <mergeCells count="20">
    <mergeCell ref="F142:G142"/>
    <mergeCell ref="D132:G132"/>
    <mergeCell ref="L132:M132"/>
    <mergeCell ref="F133:G133"/>
    <mergeCell ref="F134:G134"/>
    <mergeCell ref="F135:G135"/>
    <mergeCell ref="F136:G136"/>
    <mergeCell ref="F137:G137"/>
    <mergeCell ref="F138:G138"/>
    <mergeCell ref="F139:G139"/>
    <mergeCell ref="F140:G140"/>
    <mergeCell ref="F141:G141"/>
    <mergeCell ref="F149:G149"/>
    <mergeCell ref="G155:H155"/>
    <mergeCell ref="F143:G143"/>
    <mergeCell ref="F144:G144"/>
    <mergeCell ref="F145:G145"/>
    <mergeCell ref="F146:G146"/>
    <mergeCell ref="F147:G147"/>
    <mergeCell ref="F148:G148"/>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codeName="Sheet8">
    <tabColor rgb="FFFFC000"/>
  </sheetPr>
  <dimension ref="A1"/>
  <sheetViews>
    <sheetView zoomScale="97" zoomScaleSheetLayoutView="100" workbookViewId="0">
      <selection activeCell="A30" sqref="A3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A79"/>
  <sheetViews>
    <sheetView topLeftCell="A75" zoomScale="115" zoomScaleSheetLayoutView="100" workbookViewId="0">
      <selection activeCell="A75" sqref="A75"/>
    </sheetView>
  </sheetViews>
  <sheetFormatPr defaultColWidth="8.875" defaultRowHeight="13.5"/>
  <cols>
    <col min="1" max="1" width="142.75" style="2" customWidth="1"/>
  </cols>
  <sheetData>
    <row r="1" spans="1:1">
      <c r="A1" s="12" t="s">
        <v>351</v>
      </c>
    </row>
    <row r="2" spans="1:1">
      <c r="A2" s="2" t="s">
        <v>328</v>
      </c>
    </row>
    <row r="3" spans="1:1">
      <c r="A3" s="2" t="s">
        <v>329</v>
      </c>
    </row>
    <row r="4" spans="1:1">
      <c r="A4" s="2" t="s">
        <v>330</v>
      </c>
    </row>
    <row r="5" spans="1:1">
      <c r="A5" s="2" t="s">
        <v>334</v>
      </c>
    </row>
    <row r="6" spans="1:1">
      <c r="A6" s="2" t="s">
        <v>337</v>
      </c>
    </row>
    <row r="8" spans="1:1">
      <c r="A8" s="2" t="s">
        <v>338</v>
      </c>
    </row>
    <row r="9" spans="1:1">
      <c r="A9" s="2" t="s">
        <v>339</v>
      </c>
    </row>
    <row r="10" spans="1:1">
      <c r="A10" s="2" t="s">
        <v>340</v>
      </c>
    </row>
    <row r="11" spans="1:1">
      <c r="A11" s="2" t="s">
        <v>341</v>
      </c>
    </row>
    <row r="12" spans="1:1">
      <c r="A12" s="2" t="s">
        <v>342</v>
      </c>
    </row>
    <row r="14" spans="1:1">
      <c r="A14" s="12" t="s">
        <v>344</v>
      </c>
    </row>
    <row r="15" spans="1:1">
      <c r="A15" s="12" t="s">
        <v>352</v>
      </c>
    </row>
    <row r="16" spans="1:1">
      <c r="A16" s="12" t="s">
        <v>353</v>
      </c>
    </row>
    <row r="17" spans="1:1" ht="27">
      <c r="A17" s="6" t="s">
        <v>345</v>
      </c>
    </row>
    <row r="18" spans="1:1">
      <c r="A18" s="2" t="s">
        <v>354</v>
      </c>
    </row>
    <row r="19" spans="1:1">
      <c r="A19" s="2" t="s">
        <v>355</v>
      </c>
    </row>
    <row r="20" spans="1:1">
      <c r="A20" s="2" t="s">
        <v>350</v>
      </c>
    </row>
    <row r="22" spans="1:1">
      <c r="A22" s="12" t="s">
        <v>360</v>
      </c>
    </row>
    <row r="23" spans="1:1">
      <c r="A23" s="2" t="s">
        <v>361</v>
      </c>
    </row>
    <row r="24" spans="1:1">
      <c r="A24" s="2" t="s">
        <v>362</v>
      </c>
    </row>
    <row r="26" spans="1:1">
      <c r="A26" s="12" t="s">
        <v>370</v>
      </c>
    </row>
    <row r="27" spans="1:1">
      <c r="A27" s="2" t="s">
        <v>375</v>
      </c>
    </row>
    <row r="28" spans="1:1" ht="27">
      <c r="A28" s="6" t="s">
        <v>376</v>
      </c>
    </row>
    <row r="29" spans="1:1">
      <c r="A29" s="2" t="s">
        <v>371</v>
      </c>
    </row>
    <row r="31" spans="1:1">
      <c r="A31" s="12" t="s">
        <v>389</v>
      </c>
    </row>
    <row r="32" spans="1:1">
      <c r="A32" s="2" t="s">
        <v>390</v>
      </c>
    </row>
    <row r="33" spans="1:1">
      <c r="A33" s="2" t="s">
        <v>403</v>
      </c>
    </row>
    <row r="34" spans="1:1">
      <c r="A34" s="2" t="s">
        <v>402</v>
      </c>
    </row>
    <row r="36" spans="1:1">
      <c r="A36" s="12" t="s">
        <v>399</v>
      </c>
    </row>
    <row r="37" spans="1:1">
      <c r="A37" s="2" t="s">
        <v>400</v>
      </c>
    </row>
    <row r="38" spans="1:1" ht="57.75" customHeight="1">
      <c r="A38" s="6" t="s">
        <v>401</v>
      </c>
    </row>
    <row r="39" spans="1:1">
      <c r="A39" s="12" t="s">
        <v>404</v>
      </c>
    </row>
    <row r="41" spans="1:1">
      <c r="A41" s="12" t="s">
        <v>412</v>
      </c>
    </row>
    <row r="42" spans="1:1">
      <c r="A42" s="2" t="s">
        <v>413</v>
      </c>
    </row>
    <row r="43" spans="1:1">
      <c r="A43" s="2" t="s">
        <v>414</v>
      </c>
    </row>
    <row r="45" spans="1:1">
      <c r="A45" s="12" t="s">
        <v>415</v>
      </c>
    </row>
    <row r="46" spans="1:1" ht="76.5" customHeight="1">
      <c r="A46" s="6" t="s">
        <v>422</v>
      </c>
    </row>
    <row r="47" spans="1:1" ht="33" customHeight="1">
      <c r="A47" s="6" t="s">
        <v>423</v>
      </c>
    </row>
    <row r="48" spans="1:1" ht="45" customHeight="1">
      <c r="A48" s="6" t="s">
        <v>434</v>
      </c>
    </row>
    <row r="49" spans="1:1">
      <c r="A49" s="12" t="s">
        <v>435</v>
      </c>
    </row>
    <row r="50" spans="1:1">
      <c r="A50" s="12" t="s">
        <v>436</v>
      </c>
    </row>
    <row r="52" spans="1:1">
      <c r="A52" s="12" t="s">
        <v>443</v>
      </c>
    </row>
    <row r="53" spans="1:1" ht="29.25" customHeight="1">
      <c r="A53" s="6" t="s">
        <v>449</v>
      </c>
    </row>
    <row r="54" spans="1:1" ht="17.25" customHeight="1">
      <c r="A54" s="2" t="s">
        <v>444</v>
      </c>
    </row>
    <row r="55" spans="1:1" ht="5.25" customHeight="1"/>
    <row r="56" spans="1:1" ht="33.75" customHeight="1">
      <c r="A56" s="6" t="s">
        <v>445</v>
      </c>
    </row>
    <row r="57" spans="1:1" ht="30" customHeight="1">
      <c r="A57" s="6" t="s">
        <v>446</v>
      </c>
    </row>
    <row r="58" spans="1:1">
      <c r="A58" s="2" t="s">
        <v>447</v>
      </c>
    </row>
    <row r="59" spans="1:1">
      <c r="A59" s="2" t="s">
        <v>448</v>
      </c>
    </row>
    <row r="61" spans="1:1">
      <c r="A61" s="12" t="s">
        <v>456</v>
      </c>
    </row>
    <row r="62" spans="1:1" ht="18" customHeight="1">
      <c r="A62" s="2" t="s">
        <v>457</v>
      </c>
    </row>
    <row r="63" spans="1:1" ht="34.5" customHeight="1">
      <c r="A63" s="6" t="s">
        <v>458</v>
      </c>
    </row>
    <row r="64" spans="1:1" ht="30" customHeight="1">
      <c r="A64" s="6" t="s">
        <v>459</v>
      </c>
    </row>
    <row r="67" spans="1:1">
      <c r="A67" s="12" t="s">
        <v>500</v>
      </c>
    </row>
    <row r="68" spans="1:1" ht="29.25" customHeight="1">
      <c r="A68" s="6" t="s">
        <v>501</v>
      </c>
    </row>
    <row r="69" spans="1:1" ht="36" customHeight="1">
      <c r="A69" s="6" t="s">
        <v>502</v>
      </c>
    </row>
    <row r="70" spans="1:1">
      <c r="A70" s="2" t="s">
        <v>503</v>
      </c>
    </row>
    <row r="71" spans="1:1">
      <c r="A71" s="2" t="s">
        <v>504</v>
      </c>
    </row>
    <row r="72" spans="1:1">
      <c r="A72" s="2" t="s">
        <v>508</v>
      </c>
    </row>
    <row r="73" spans="1:1">
      <c r="A73" s="2" t="s">
        <v>509</v>
      </c>
    </row>
    <row r="75" spans="1:1">
      <c r="A75" s="12" t="s">
        <v>672</v>
      </c>
    </row>
    <row r="76" spans="1:1">
      <c r="A76" s="2" t="s">
        <v>673</v>
      </c>
    </row>
    <row r="77" spans="1:1">
      <c r="A77" s="12" t="s">
        <v>674</v>
      </c>
    </row>
    <row r="78" spans="1:1" ht="29.25" customHeight="1">
      <c r="A78" s="6" t="s">
        <v>696</v>
      </c>
    </row>
    <row r="79" spans="1:1">
      <c r="A79" s="12" t="s">
        <v>695</v>
      </c>
    </row>
  </sheetData>
  <phoneticPr fontId="2"/>
  <pageMargins left="0.75" right="0.75" top="1" bottom="1" header="0.51111111111111107" footer="0.51111111111111107"/>
  <pageSetup paperSize="9" firstPageNumber="4294963191" orientation="portrait" r:id="rId1"/>
  <headerFooter alignWithMargins="0"/>
</worksheet>
</file>

<file path=xl/worksheets/sheet5.xml><?xml version="1.0" encoding="utf-8"?>
<worksheet xmlns="http://schemas.openxmlformats.org/spreadsheetml/2006/main" xmlns:r="http://schemas.openxmlformats.org/officeDocument/2006/relationships">
  <sheetPr>
    <tabColor rgb="FF00FF00"/>
  </sheetPr>
  <dimension ref="A1:D17"/>
  <sheetViews>
    <sheetView workbookViewId="0">
      <selection sqref="A1:D1"/>
    </sheetView>
  </sheetViews>
  <sheetFormatPr defaultRowHeight="13.5"/>
  <cols>
    <col min="1" max="4" width="35.625" style="101" customWidth="1"/>
  </cols>
  <sheetData>
    <row r="1" spans="1:4" ht="83.25" customHeight="1">
      <c r="A1" s="223" t="s">
        <v>140</v>
      </c>
      <c r="B1" s="224"/>
      <c r="C1" s="224"/>
      <c r="D1" s="224"/>
    </row>
    <row r="2" spans="1:4" s="99" customFormat="1" ht="21.75" customHeight="1" thickBot="1">
      <c r="A2" s="103" t="s">
        <v>133</v>
      </c>
      <c r="B2" s="103" t="s">
        <v>134</v>
      </c>
      <c r="C2" s="103" t="s">
        <v>135</v>
      </c>
      <c r="D2" s="103" t="s">
        <v>136</v>
      </c>
    </row>
    <row r="3" spans="1:4" s="99" customFormat="1" ht="27.75" thickTop="1">
      <c r="A3" s="161" t="s">
        <v>290</v>
      </c>
      <c r="B3" s="102" t="s">
        <v>128</v>
      </c>
      <c r="C3" s="104" t="s">
        <v>139</v>
      </c>
      <c r="D3" s="154" t="s">
        <v>282</v>
      </c>
    </row>
    <row r="4" spans="1:4" s="99" customFormat="1">
      <c r="A4" s="154" t="s">
        <v>152</v>
      </c>
      <c r="B4" s="190" t="s">
        <v>138</v>
      </c>
      <c r="C4" s="104"/>
      <c r="D4" s="154" t="s">
        <v>309</v>
      </c>
    </row>
    <row r="5" spans="1:4" s="99" customFormat="1" ht="40.5">
      <c r="A5" s="185"/>
      <c r="B5" s="190" t="s">
        <v>433</v>
      </c>
      <c r="C5" s="154"/>
      <c r="D5" s="108" t="s">
        <v>697</v>
      </c>
    </row>
    <row r="6" spans="1:4" s="99" customFormat="1" ht="33" customHeight="1">
      <c r="A6" s="185"/>
      <c r="B6" s="108" t="s">
        <v>510</v>
      </c>
      <c r="C6" s="176"/>
      <c r="D6" s="176"/>
    </row>
    <row r="7" spans="1:4" s="99" customFormat="1" ht="28.5" customHeight="1">
      <c r="A7" s="154"/>
      <c r="B7" s="154" t="s">
        <v>511</v>
      </c>
      <c r="C7" s="185"/>
      <c r="D7" s="176"/>
    </row>
    <row r="8" spans="1:4" s="99" customFormat="1" ht="37.5" customHeight="1">
      <c r="A8" s="176"/>
      <c r="B8" s="175" t="s">
        <v>698</v>
      </c>
      <c r="C8" s="185"/>
      <c r="D8" s="176"/>
    </row>
    <row r="9" spans="1:4" s="99" customFormat="1" ht="37.5" customHeight="1">
      <c r="A9" s="108"/>
      <c r="B9" s="108"/>
      <c r="C9" s="185"/>
      <c r="D9" s="108"/>
    </row>
    <row r="10" spans="1:4" s="99" customFormat="1" ht="37.5" customHeight="1">
      <c r="A10" s="154"/>
      <c r="B10" s="154"/>
      <c r="C10" s="185"/>
      <c r="D10" s="185"/>
    </row>
    <row r="11" spans="1:4" s="99" customFormat="1">
      <c r="A11" s="100"/>
      <c r="B11" s="100"/>
      <c r="C11" s="100"/>
      <c r="D11" s="100"/>
    </row>
    <row r="12" spans="1:4" s="99" customFormat="1">
      <c r="A12" s="100"/>
      <c r="B12" s="100"/>
      <c r="C12" s="100"/>
      <c r="D12" s="100"/>
    </row>
    <row r="13" spans="1:4" s="99" customFormat="1">
      <c r="A13" s="100"/>
      <c r="B13" s="100"/>
      <c r="C13" s="100"/>
      <c r="D13" s="100"/>
    </row>
    <row r="14" spans="1:4" s="99" customFormat="1">
      <c r="A14" s="100"/>
      <c r="B14" s="100"/>
      <c r="C14" s="100"/>
      <c r="D14" s="100"/>
    </row>
    <row r="15" spans="1:4" s="99" customFormat="1">
      <c r="A15" s="100"/>
      <c r="B15" s="100"/>
      <c r="C15" s="100"/>
      <c r="D15" s="100"/>
    </row>
    <row r="16" spans="1:4" s="99" customFormat="1">
      <c r="A16" s="100"/>
      <c r="B16" s="100"/>
      <c r="C16" s="100"/>
      <c r="D16" s="100"/>
    </row>
    <row r="17" spans="1:4" s="99" customFormat="1">
      <c r="A17" s="100"/>
      <c r="B17" s="100"/>
      <c r="C17" s="100"/>
      <c r="D17" s="100"/>
    </row>
  </sheetData>
  <mergeCells count="1">
    <mergeCell ref="A1:D1"/>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0"/>
  </sheetPr>
  <dimension ref="A1:AD67"/>
  <sheetViews>
    <sheetView topLeftCell="A34" zoomScale="90" zoomScaleNormal="90" workbookViewId="0">
      <selection activeCell="N49" sqref="N49"/>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49" customWidth="1"/>
    <col min="29" max="29" width="3.375" customWidth="1"/>
    <col min="30" max="30" width="10.875" customWidth="1"/>
  </cols>
  <sheetData>
    <row r="1" spans="1:30" ht="17.25">
      <c r="A1" s="143" t="s">
        <v>221</v>
      </c>
    </row>
    <row r="2" spans="1:30">
      <c r="A2" s="230" t="s">
        <v>218</v>
      </c>
      <c r="B2" s="230"/>
      <c r="C2" s="231">
        <v>500000</v>
      </c>
      <c r="D2" s="231"/>
    </row>
    <row r="3" spans="1:30">
      <c r="A3" s="230" t="s">
        <v>219</v>
      </c>
      <c r="B3" s="230"/>
      <c r="C3" s="232">
        <f>SUM(C2,E37)</f>
        <v>402500</v>
      </c>
      <c r="D3" s="232"/>
    </row>
    <row r="4" spans="1:30">
      <c r="A4" s="230" t="s">
        <v>220</v>
      </c>
      <c r="B4" s="230"/>
      <c r="C4" s="233">
        <f>DATEVALUE(20&amp;LEFT(デモトレ履歴!G3,2)&amp;"/"&amp;MID(デモトレ履歴!G3,4,2)&amp;"/"&amp;MID(デモトレ履歴!G3,7,2))</f>
        <v>42373</v>
      </c>
      <c r="D4" s="233"/>
    </row>
    <row r="6" spans="1:30" ht="17.25">
      <c r="A6" s="110" t="s">
        <v>157</v>
      </c>
      <c r="B6" s="111"/>
      <c r="C6" s="111"/>
      <c r="D6" s="111"/>
      <c r="E6" s="111"/>
      <c r="F6" s="111"/>
      <c r="G6" s="111"/>
      <c r="H6" s="111"/>
      <c r="I6" s="111"/>
      <c r="J6" s="111"/>
      <c r="K6" s="111"/>
      <c r="L6" s="111"/>
      <c r="M6" s="111"/>
      <c r="N6" s="111"/>
      <c r="AD6" s="111"/>
    </row>
    <row r="7" spans="1:30">
      <c r="A7" s="111"/>
      <c r="B7" s="111"/>
      <c r="C7" s="111"/>
      <c r="D7" s="111"/>
      <c r="E7" s="111"/>
      <c r="F7" s="111"/>
      <c r="G7" s="111"/>
      <c r="H7" s="111"/>
      <c r="I7" s="111"/>
      <c r="J7" s="111"/>
      <c r="K7" s="111"/>
      <c r="L7" s="111"/>
      <c r="M7" s="111"/>
      <c r="N7" s="111"/>
      <c r="AD7" s="111"/>
    </row>
    <row r="8" spans="1:30" ht="36">
      <c r="A8" s="112" t="s">
        <v>158</v>
      </c>
      <c r="B8" s="113" t="s">
        <v>159</v>
      </c>
      <c r="C8" s="113" t="s">
        <v>160</v>
      </c>
      <c r="D8" s="114" t="s">
        <v>187</v>
      </c>
      <c r="E8" s="113" t="s">
        <v>161</v>
      </c>
      <c r="F8" s="114" t="s">
        <v>205</v>
      </c>
      <c r="G8" s="113" t="s">
        <v>162</v>
      </c>
      <c r="H8" s="113" t="s">
        <v>163</v>
      </c>
      <c r="I8" s="113" t="s">
        <v>164</v>
      </c>
      <c r="J8" s="113" t="s">
        <v>165</v>
      </c>
      <c r="K8" s="113" t="s">
        <v>166</v>
      </c>
      <c r="L8" s="113" t="s">
        <v>167</v>
      </c>
      <c r="M8" s="114" t="s">
        <v>168</v>
      </c>
      <c r="N8" s="115" t="s">
        <v>169</v>
      </c>
      <c r="AD8" s="113" t="s">
        <v>206</v>
      </c>
    </row>
    <row r="9" spans="1:30">
      <c r="A9" s="116" t="s">
        <v>176</v>
      </c>
      <c r="B9" s="117">
        <f>SUMIFS(デモトレ履歴!$P$4:$P$129,デモトレ履歴!$M$4:$M$129,"win",デモトレ履歴!$B$4:$B$129,成績表!$A9&amp;"*")</f>
        <v>39740</v>
      </c>
      <c r="C9" s="117">
        <f>SUMIFS(デモトレ履歴!$P$4:$P$129,デモトレ履歴!$M$4:$M$129,"loss",デモトレ履歴!$B$4:$B$129,成績表!$A9&amp;"*")</f>
        <v>-17020</v>
      </c>
      <c r="D9" s="117">
        <f>SUMIFS(デモトレ履歴!$P$4:$P$129,デモトレ履歴!$M$4:$M$129,"drw",デモトレ履歴!$B$4:$B$129,成績表!$A9&amp;"*")</f>
        <v>408</v>
      </c>
      <c r="E9" s="117">
        <f t="shared" ref="E9:E36" si="0">SUM(B9:D9)</f>
        <v>23128</v>
      </c>
      <c r="F9" s="118">
        <f>COUNTIF(デモトレ履歴!$B$4:$B$129,成績表!$A9&amp;"*")</f>
        <v>7</v>
      </c>
      <c r="G9" s="118">
        <f>COUNTIFS(デモトレ履歴!$M$4:$M$129,"win",デモトレ履歴!$B$4:$B$129,成績表!$A9&amp;"*")</f>
        <v>3</v>
      </c>
      <c r="H9" s="118">
        <f>COUNTIFS(デモトレ履歴!$M$4:$M$129,"loss",デモトレ履歴!$B$4:$B$129,成績表!$A9&amp;"*")</f>
        <v>3</v>
      </c>
      <c r="I9" s="119">
        <f>COUNTIFS(デモトレ履歴!$M$4:$M$129,"drw",デモトレ履歴!$B$4:$B$129,成績表!$A9&amp;"*")</f>
        <v>1</v>
      </c>
      <c r="J9" s="120">
        <f>IF(G9&gt;0,G9/F9,0)</f>
        <v>0.42857142857142855</v>
      </c>
      <c r="K9" s="121">
        <f t="shared" ref="K9:K36" si="1">IF(B9&lt;&gt;0,B9/G9,0)</f>
        <v>13246.666666666666</v>
      </c>
      <c r="L9" s="121">
        <f t="shared" ref="L9:L36" si="2">IF(C9&lt;&gt;0,C9/H9*-1,0)</f>
        <v>5673.333333333333</v>
      </c>
      <c r="M9" s="136">
        <f>IF(AND(K9&lt;&gt;0,L9&lt;&gt;0),K9/L9,0)</f>
        <v>2.3349001175088131</v>
      </c>
      <c r="N9" s="137">
        <f t="shared" ref="N9:N36" si="3">IF(AND(B9&lt;&gt;0,C9&lt;&gt;0),B9/C9,0)</f>
        <v>-2.3349001175088131</v>
      </c>
      <c r="AD9" s="117">
        <f t="shared" ref="AD9:AD36" si="4">ABS(C9)</f>
        <v>17020</v>
      </c>
    </row>
    <row r="10" spans="1:30">
      <c r="A10" s="122" t="s">
        <v>177</v>
      </c>
      <c r="B10" s="123">
        <f>SUMIFS(デモトレ履歴!$P$4:$P$129,デモトレ履歴!$M$4:$M$129,"win",デモトレ履歴!$B$4:$B$129,成績表!$A10&amp;"*")</f>
        <v>18155</v>
      </c>
      <c r="C10" s="123">
        <f>SUMIFS(デモトレ履歴!$P$4:$P$129,デモトレ履歴!$M$4:$M$129,"loss",デモトレ履歴!$B$4:$B$129,成績表!$A10&amp;"*")</f>
        <v>0</v>
      </c>
      <c r="D10" s="123">
        <f>SUMIFS(デモトレ履歴!$P$4:$P$129,デモトレ履歴!$M$4:$M$129,"drw",デモトレ履歴!$B$4:$B$129,成績表!$A10&amp;"*")</f>
        <v>-35</v>
      </c>
      <c r="E10" s="123">
        <f t="shared" si="0"/>
        <v>18120</v>
      </c>
      <c r="F10" s="124">
        <f>COUNTIF(デモトレ履歴!$B$4:$B$129,成績表!$A10&amp;"*")</f>
        <v>2</v>
      </c>
      <c r="G10" s="124">
        <f>COUNTIFS(デモトレ履歴!$M$4:$M$129,"win",デモトレ履歴!$B$4:$B$129,成績表!$A10&amp;"*")</f>
        <v>1</v>
      </c>
      <c r="H10" s="124">
        <f>COUNTIFS(デモトレ履歴!$M$4:$M$129,"loss",デモトレ履歴!$B$4:$B$129,成績表!$A10&amp;"*")</f>
        <v>0</v>
      </c>
      <c r="I10" s="124">
        <f>COUNTIFS(デモトレ履歴!$M$4:$M$129,"drw",デモトレ履歴!$B$4:$B$129,成績表!$A10&amp;"*")</f>
        <v>1</v>
      </c>
      <c r="J10" s="125">
        <f t="shared" ref="J10:J36" si="5">IF(G10&gt;0,G10/F10,0)</f>
        <v>0.5</v>
      </c>
      <c r="K10" s="123">
        <f t="shared" si="1"/>
        <v>18155</v>
      </c>
      <c r="L10" s="123">
        <f t="shared" si="2"/>
        <v>0</v>
      </c>
      <c r="M10" s="138">
        <f t="shared" ref="M10:M35" si="6">IF(AND(K10&lt;&gt;0,L10&lt;&gt;0),K10/L10,0)</f>
        <v>0</v>
      </c>
      <c r="N10" s="139">
        <f t="shared" si="3"/>
        <v>0</v>
      </c>
      <c r="AD10" s="123">
        <f t="shared" si="4"/>
        <v>0</v>
      </c>
    </row>
    <row r="11" spans="1:30">
      <c r="A11" s="122" t="s">
        <v>178</v>
      </c>
      <c r="B11" s="123">
        <f>SUMIFS(デモトレ履歴!$P$4:$P$129,デモトレ履歴!$M$4:$M$129,"win",デモトレ履歴!$B$4:$B$129,成績表!$A11&amp;"*")</f>
        <v>0</v>
      </c>
      <c r="C11" s="123">
        <f>SUMIFS(デモトレ履歴!$P$4:$P$129,デモトレ履歴!$M$4:$M$129,"loss",デモトレ履歴!$B$4:$B$129,成績表!$A11&amp;"*")</f>
        <v>-29414</v>
      </c>
      <c r="D11" s="123">
        <f>SUMIFS(デモトレ履歴!$P$4:$P$129,デモトレ履歴!$M$4:$M$129,"drw",デモトレ履歴!$B$4:$B$129,成績表!$A11&amp;"*")</f>
        <v>0</v>
      </c>
      <c r="E11" s="123">
        <f t="shared" si="0"/>
        <v>-29414</v>
      </c>
      <c r="F11" s="124">
        <f>COUNTIF(デモトレ履歴!$B$4:$B$129,成績表!$A11&amp;"*")</f>
        <v>4</v>
      </c>
      <c r="G11" s="124">
        <f>COUNTIFS(デモトレ履歴!$M$4:$M$129,"win",デモトレ履歴!$B$4:$B$129,成績表!$A11&amp;"*")</f>
        <v>0</v>
      </c>
      <c r="H11" s="124">
        <f>COUNTIFS(デモトレ履歴!$M$4:$M$129,"loss",デモトレ履歴!$B$4:$B$129,成績表!$A11&amp;"*")</f>
        <v>3</v>
      </c>
      <c r="I11" s="124">
        <f>COUNTIFS(デモトレ履歴!$M$4:$M$129,"drw",デモトレ履歴!$B$4:$B$129,成績表!$A11&amp;"*")</f>
        <v>1</v>
      </c>
      <c r="J11" s="125">
        <f t="shared" si="5"/>
        <v>0</v>
      </c>
      <c r="K11" s="123">
        <f t="shared" si="1"/>
        <v>0</v>
      </c>
      <c r="L11" s="123">
        <f t="shared" si="2"/>
        <v>9804.6666666666661</v>
      </c>
      <c r="M11" s="138">
        <f t="shared" si="6"/>
        <v>0</v>
      </c>
      <c r="N11" s="139">
        <f t="shared" si="3"/>
        <v>0</v>
      </c>
      <c r="AD11" s="123">
        <f t="shared" si="4"/>
        <v>29414</v>
      </c>
    </row>
    <row r="12" spans="1:30">
      <c r="A12" s="122" t="s">
        <v>179</v>
      </c>
      <c r="B12" s="123">
        <f>SUMIFS(デモトレ履歴!$P$4:$P$129,デモトレ履歴!$M$4:$M$129,"win",デモトレ履歴!$B$4:$B$129,成績表!$A12&amp;"*")</f>
        <v>13120</v>
      </c>
      <c r="C12" s="123">
        <f>SUMIFS(デモトレ履歴!$P$4:$P$129,デモトレ履歴!$M$4:$M$129,"loss",デモトレ履歴!$B$4:$B$129,成績表!$A12&amp;"*")</f>
        <v>-48590</v>
      </c>
      <c r="D12" s="123">
        <f>SUMIFS(デモトレ履歴!$P$4:$P$129,デモトレ履歴!$M$4:$M$129,"drw",デモトレ履歴!$B$4:$B$129,成績表!$A12&amp;"*")</f>
        <v>-735</v>
      </c>
      <c r="E12" s="123">
        <f t="shared" si="0"/>
        <v>-36205</v>
      </c>
      <c r="F12" s="124">
        <f>COUNTIF(デモトレ履歴!$B$4:$B$129,成績表!$A12&amp;"*")</f>
        <v>9</v>
      </c>
      <c r="G12" s="124">
        <f>COUNTIFS(デモトレ履歴!$M$4:$M$129,"win",デモトレ履歴!$B$4:$B$129,成績表!$A12&amp;"*")</f>
        <v>1</v>
      </c>
      <c r="H12" s="124">
        <f>COUNTIFS(デモトレ履歴!$M$4:$M$129,"loss",デモトレ履歴!$B$4:$B$129,成績表!$A12&amp;"*")</f>
        <v>6</v>
      </c>
      <c r="I12" s="124">
        <f>COUNTIFS(デモトレ履歴!$M$4:$M$129,"drw",デモトレ履歴!$B$4:$B$129,成績表!$A12&amp;"*")</f>
        <v>2</v>
      </c>
      <c r="J12" s="125">
        <f t="shared" si="5"/>
        <v>0.1111111111111111</v>
      </c>
      <c r="K12" s="123">
        <f t="shared" si="1"/>
        <v>13120</v>
      </c>
      <c r="L12" s="123">
        <f t="shared" si="2"/>
        <v>8098.333333333333</v>
      </c>
      <c r="M12" s="138">
        <f t="shared" si="6"/>
        <v>1.6200864375385882</v>
      </c>
      <c r="N12" s="139">
        <f t="shared" si="3"/>
        <v>-0.27001440625643136</v>
      </c>
      <c r="AD12" s="123">
        <f t="shared" si="4"/>
        <v>48590</v>
      </c>
    </row>
    <row r="13" spans="1:30">
      <c r="A13" s="122" t="s">
        <v>180</v>
      </c>
      <c r="B13" s="123">
        <f>SUMIFS(デモトレ履歴!$P$4:$P$129,デモトレ履歴!$M$4:$M$129,"win",デモトレ履歴!$B$4:$B$129,成績表!$A13&amp;"*")</f>
        <v>18120</v>
      </c>
      <c r="C13" s="123">
        <f>SUMIFS(デモトレ履歴!$P$4:$P$129,デモトレ履歴!$M$4:$M$129,"loss",デモトレ履歴!$B$4:$B$129,成績表!$A13&amp;"*")</f>
        <v>-49930</v>
      </c>
      <c r="D13" s="123">
        <f>SUMIFS(デモトレ履歴!$P$4:$P$129,デモトレ履歴!$M$4:$M$129,"drw",デモトレ履歴!$B$4:$B$129,成績表!$A13&amp;"*")</f>
        <v>-10</v>
      </c>
      <c r="E13" s="123">
        <f t="shared" si="0"/>
        <v>-31820</v>
      </c>
      <c r="F13" s="124">
        <f>COUNTIF(デモトレ履歴!$B$4:$B$129,成績表!$A13&amp;"*")</f>
        <v>6</v>
      </c>
      <c r="G13" s="124">
        <f>COUNTIFS(デモトレ履歴!$M$4:$M$129,"win",デモトレ履歴!$B$4:$B$129,成績表!$A13&amp;"*")</f>
        <v>1</v>
      </c>
      <c r="H13" s="124">
        <f>COUNTIFS(デモトレ履歴!$M$4:$M$129,"loss",デモトレ履歴!$B$4:$B$129,成績表!$A13&amp;"*")</f>
        <v>4</v>
      </c>
      <c r="I13" s="124">
        <f>COUNTIFS(デモトレ履歴!$M$4:$M$129,"drw",デモトレ履歴!$B$4:$B$129,成績表!$A13&amp;"*")</f>
        <v>1</v>
      </c>
      <c r="J13" s="125">
        <f t="shared" si="5"/>
        <v>0.16666666666666666</v>
      </c>
      <c r="K13" s="123">
        <f t="shared" si="1"/>
        <v>18120</v>
      </c>
      <c r="L13" s="123">
        <f t="shared" si="2"/>
        <v>12482.5</v>
      </c>
      <c r="M13" s="138">
        <f t="shared" si="6"/>
        <v>1.4516322851992789</v>
      </c>
      <c r="N13" s="139">
        <f t="shared" si="3"/>
        <v>-0.36290807129981972</v>
      </c>
      <c r="AD13" s="123">
        <f t="shared" si="4"/>
        <v>49930</v>
      </c>
    </row>
    <row r="14" spans="1:30">
      <c r="A14" s="122" t="s">
        <v>181</v>
      </c>
      <c r="B14" s="123">
        <f>SUMIFS(デモトレ履歴!$P$4:$P$129,デモトレ履歴!$M$4:$M$129,"win",デモトレ履歴!$B$4:$B$129,成績表!$A14&amp;"*")</f>
        <v>0</v>
      </c>
      <c r="C14" s="123">
        <f>SUMIFS(デモトレ履歴!$P$4:$P$129,デモトレ履歴!$M$4:$M$129,"loss",デモトレ履歴!$B$4:$B$129,成績表!$A14&amp;"*")</f>
        <v>-6322</v>
      </c>
      <c r="D14" s="123">
        <f>SUMIFS(デモトレ履歴!$P$4:$P$129,デモトレ履歴!$M$4:$M$129,"drw",デモトレ履歴!$B$4:$B$129,成績表!$A14&amp;"*")</f>
        <v>0</v>
      </c>
      <c r="E14" s="123">
        <f t="shared" si="0"/>
        <v>-6322</v>
      </c>
      <c r="F14" s="124">
        <f>COUNTIF(デモトレ履歴!$B$4:$B$129,成績表!$A14&amp;"*")</f>
        <v>1</v>
      </c>
      <c r="G14" s="124">
        <f>COUNTIFS(デモトレ履歴!$M$4:$M$129,"win",デモトレ履歴!$B$4:$B$129,成績表!$A14&amp;"*")</f>
        <v>0</v>
      </c>
      <c r="H14" s="124">
        <f>COUNTIFS(デモトレ履歴!$M$4:$M$129,"loss",デモトレ履歴!$B$4:$B$129,成績表!$A14&amp;"*")</f>
        <v>1</v>
      </c>
      <c r="I14" s="124">
        <f>COUNTIFS(デモトレ履歴!$M$4:$M$129,"drw",デモトレ履歴!$B$4:$B$129,成績表!$A14&amp;"*")</f>
        <v>0</v>
      </c>
      <c r="J14" s="125">
        <f t="shared" si="5"/>
        <v>0</v>
      </c>
      <c r="K14" s="123">
        <f t="shared" si="1"/>
        <v>0</v>
      </c>
      <c r="L14" s="123">
        <f t="shared" si="2"/>
        <v>6322</v>
      </c>
      <c r="M14" s="138">
        <f t="shared" si="6"/>
        <v>0</v>
      </c>
      <c r="N14" s="139">
        <f t="shared" si="3"/>
        <v>0</v>
      </c>
      <c r="AD14" s="123">
        <f t="shared" si="4"/>
        <v>6322</v>
      </c>
    </row>
    <row r="15" spans="1:30">
      <c r="A15" s="122" t="s">
        <v>182</v>
      </c>
      <c r="B15" s="123">
        <f>SUMIFS(デモトレ履歴!$P$4:$P$129,デモトレ履歴!$M$4:$M$129,"win",デモトレ履歴!$B$4:$B$129,成績表!$A15&amp;"*")</f>
        <v>5238</v>
      </c>
      <c r="C15" s="123">
        <f>SUMIFS(デモトレ履歴!$P$4:$P$129,デモトレ履歴!$M$4:$M$129,"loss",デモトレ履歴!$B$4:$B$129,成績表!$A15&amp;"*")</f>
        <v>-16182</v>
      </c>
      <c r="D15" s="123">
        <f>SUMIFS(デモトレ履歴!$P$4:$P$129,デモトレ履歴!$M$4:$M$129,"drw",デモトレ履歴!$B$4:$B$129,成績表!$A15&amp;"*")</f>
        <v>-17</v>
      </c>
      <c r="E15" s="123">
        <f t="shared" si="0"/>
        <v>-10961</v>
      </c>
      <c r="F15" s="124">
        <f>COUNTIF(デモトレ履歴!$B$4:$B$129,成績表!$A15&amp;"*")</f>
        <v>9</v>
      </c>
      <c r="G15" s="124">
        <f>COUNTIFS(デモトレ履歴!$M$4:$M$129,"win",デモトレ履歴!$B$4:$B$129,成績表!$A15&amp;"*")</f>
        <v>2</v>
      </c>
      <c r="H15" s="124">
        <f>COUNTIFS(デモトレ履歴!$M$4:$M$129,"loss",デモトレ履歴!$B$4:$B$129,成績表!$A15&amp;"*")</f>
        <v>5</v>
      </c>
      <c r="I15" s="124">
        <f>COUNTIFS(デモトレ履歴!$M$4:$M$129,"drw",デモトレ履歴!$B$4:$B$129,成績表!$A15&amp;"*")</f>
        <v>2</v>
      </c>
      <c r="J15" s="125">
        <f t="shared" si="5"/>
        <v>0.22222222222222221</v>
      </c>
      <c r="K15" s="123">
        <f t="shared" si="1"/>
        <v>2619</v>
      </c>
      <c r="L15" s="123">
        <f t="shared" si="2"/>
        <v>3236.4</v>
      </c>
      <c r="M15" s="138">
        <f t="shared" si="6"/>
        <v>0.8092324805339266</v>
      </c>
      <c r="N15" s="139">
        <f t="shared" si="3"/>
        <v>-0.32369299221357062</v>
      </c>
      <c r="AD15" s="123">
        <f t="shared" si="4"/>
        <v>16182</v>
      </c>
    </row>
    <row r="16" spans="1:30">
      <c r="A16" s="122" t="s">
        <v>183</v>
      </c>
      <c r="B16" s="123">
        <f>SUMIFS(デモトレ履歴!$P$4:$P$129,デモトレ履歴!$M$4:$M$129,"win",デモトレ履歴!$B$4:$B$129,成績表!$A16&amp;"*")</f>
        <v>24026</v>
      </c>
      <c r="C16" s="123">
        <f>SUMIFS(デモトレ履歴!$P$4:$P$129,デモトレ履歴!$M$4:$M$129,"loss",デモトレ履歴!$B$4:$B$129,成績表!$A16&amp;"*")</f>
        <v>0</v>
      </c>
      <c r="D16" s="123">
        <f>SUMIFS(デモトレ履歴!$P$4:$P$129,デモトレ履歴!$M$4:$M$129,"drw",デモトレ履歴!$B$4:$B$129,成績表!$A16&amp;"*")</f>
        <v>0</v>
      </c>
      <c r="E16" s="123">
        <f t="shared" si="0"/>
        <v>24026</v>
      </c>
      <c r="F16" s="124">
        <f>COUNTIF(デモトレ履歴!$B$4:$B$129,成績表!$A16&amp;"*")</f>
        <v>1</v>
      </c>
      <c r="G16" s="124">
        <f>COUNTIFS(デモトレ履歴!$M$4:$M$129,"win",デモトレ履歴!$B$4:$B$129,成績表!$A16&amp;"*")</f>
        <v>1</v>
      </c>
      <c r="H16" s="124">
        <f>COUNTIFS(デモトレ履歴!$M$4:$M$129,"loss",デモトレ履歴!$B$4:$B$129,成績表!$A16&amp;"*")</f>
        <v>0</v>
      </c>
      <c r="I16" s="124">
        <f>COUNTIFS(デモトレ履歴!$M$4:$M$129,"drw",デモトレ履歴!$B$4:$B$129,成績表!$A16&amp;"*")</f>
        <v>0</v>
      </c>
      <c r="J16" s="125">
        <f t="shared" si="5"/>
        <v>1</v>
      </c>
      <c r="K16" s="123">
        <f t="shared" si="1"/>
        <v>24026</v>
      </c>
      <c r="L16" s="123">
        <f t="shared" si="2"/>
        <v>0</v>
      </c>
      <c r="M16" s="138">
        <f t="shared" si="6"/>
        <v>0</v>
      </c>
      <c r="N16" s="139">
        <f t="shared" si="3"/>
        <v>0</v>
      </c>
      <c r="AD16" s="123">
        <f t="shared" si="4"/>
        <v>0</v>
      </c>
    </row>
    <row r="17" spans="1:30">
      <c r="A17" s="122" t="s">
        <v>184</v>
      </c>
      <c r="B17" s="123">
        <f>SUMIFS(デモトレ履歴!$P$4:$P$129,デモトレ履歴!$M$4:$M$129,"win",デモトレ履歴!$B$4:$B$129,成績表!$A17&amp;"*")</f>
        <v>0</v>
      </c>
      <c r="C17" s="123">
        <f>SUMIFS(デモトレ履歴!$P$4:$P$129,デモトレ履歴!$M$4:$M$129,"loss",デモトレ履歴!$B$4:$B$129,成績表!$A17&amp;"*")</f>
        <v>-23017</v>
      </c>
      <c r="D17" s="123">
        <f>SUMIFS(デモトレ履歴!$P$4:$P$129,デモトレ履歴!$M$4:$M$129,"drw",デモトレ履歴!$B$4:$B$129,成績表!$A17&amp;"*")</f>
        <v>0</v>
      </c>
      <c r="E17" s="123">
        <f t="shared" si="0"/>
        <v>-23017</v>
      </c>
      <c r="F17" s="124">
        <f>COUNTIF(デモトレ履歴!$B$4:$B$129,成績表!$A17&amp;"*")</f>
        <v>3</v>
      </c>
      <c r="G17" s="124">
        <f>COUNTIFS(デモトレ履歴!$M$4:$M$129,"win",デモトレ履歴!$B$4:$B$129,成績表!$A17&amp;"*")</f>
        <v>0</v>
      </c>
      <c r="H17" s="124">
        <f>COUNTIFS(デモトレ履歴!$M$4:$M$129,"loss",デモトレ履歴!$B$4:$B$129,成績表!$A17&amp;"*")</f>
        <v>3</v>
      </c>
      <c r="I17" s="124">
        <f>COUNTIFS(デモトレ履歴!$M$4:$M$129,"drw",デモトレ履歴!$B$4:$B$129,成績表!$A17&amp;"*")</f>
        <v>0</v>
      </c>
      <c r="J17" s="125">
        <f t="shared" si="5"/>
        <v>0</v>
      </c>
      <c r="K17" s="123">
        <f t="shared" si="1"/>
        <v>0</v>
      </c>
      <c r="L17" s="123">
        <f t="shared" si="2"/>
        <v>7672.333333333333</v>
      </c>
      <c r="M17" s="138">
        <f t="shared" si="6"/>
        <v>0</v>
      </c>
      <c r="N17" s="139">
        <f t="shared" si="3"/>
        <v>0</v>
      </c>
      <c r="AD17" s="123">
        <f t="shared" si="4"/>
        <v>23017</v>
      </c>
    </row>
    <row r="18" spans="1:30">
      <c r="A18" s="122" t="s">
        <v>188</v>
      </c>
      <c r="B18" s="123">
        <f>SUMIFS(デモトレ履歴!$P$4:$P$129,デモトレ履歴!$M$4:$M$129,"win",デモトレ履歴!$B$4:$B$129,成績表!$A18&amp;"*")</f>
        <v>0</v>
      </c>
      <c r="C18" s="123">
        <f>SUMIFS(デモトレ履歴!$P$4:$P$129,デモトレ履歴!$M$4:$M$129,"loss",デモトレ履歴!$B$4:$B$129,成績表!$A18&amp;"*")</f>
        <v>-4572</v>
      </c>
      <c r="D18" s="123">
        <f>SUMIFS(デモトレ履歴!$P$4:$P$129,デモトレ履歴!$M$4:$M$129,"drw",デモトレ履歴!$B$4:$B$129,成績表!$A18&amp;"*")</f>
        <v>0</v>
      </c>
      <c r="E18" s="123">
        <f t="shared" si="0"/>
        <v>-4572</v>
      </c>
      <c r="F18" s="124">
        <f>COUNTIF(デモトレ履歴!$B$4:$B$129,成績表!$A18&amp;"*")</f>
        <v>3</v>
      </c>
      <c r="G18" s="124">
        <f>COUNTIFS(デモトレ履歴!$M$4:$M$129,"win",デモトレ履歴!$B$4:$B$129,成績表!$A18&amp;"*")</f>
        <v>0</v>
      </c>
      <c r="H18" s="124">
        <f>COUNTIFS(デモトレ履歴!$M$4:$M$129,"loss",デモトレ履歴!$B$4:$B$129,成績表!$A18&amp;"*")</f>
        <v>1</v>
      </c>
      <c r="I18" s="124">
        <f>COUNTIFS(デモトレ履歴!$M$4:$M$129,"drw",デモトレ履歴!$B$4:$B$129,成績表!$A18&amp;"*")</f>
        <v>2</v>
      </c>
      <c r="J18" s="125">
        <f t="shared" si="5"/>
        <v>0</v>
      </c>
      <c r="K18" s="123">
        <f t="shared" si="1"/>
        <v>0</v>
      </c>
      <c r="L18" s="123">
        <f t="shared" si="2"/>
        <v>4572</v>
      </c>
      <c r="M18" s="138">
        <f t="shared" si="6"/>
        <v>0</v>
      </c>
      <c r="N18" s="139">
        <f t="shared" si="3"/>
        <v>0</v>
      </c>
      <c r="AD18" s="123">
        <f t="shared" si="4"/>
        <v>4572</v>
      </c>
    </row>
    <row r="19" spans="1:30">
      <c r="A19" s="122" t="s">
        <v>175</v>
      </c>
      <c r="B19" s="123">
        <f>SUMIFS(デモトレ履歴!$P$4:$P$129,デモトレ履歴!$M$4:$M$129,"win",デモトレ履歴!$B$4:$B$129,成績表!$A19&amp;"*")</f>
        <v>28967</v>
      </c>
      <c r="C19" s="123">
        <f>SUMIFS(デモトレ履歴!$P$4:$P$129,デモトレ履歴!$M$4:$M$129,"loss",デモトレ履歴!$B$4:$B$129,成績表!$A19&amp;"*")</f>
        <v>-11711</v>
      </c>
      <c r="D19" s="123">
        <f>SUMIFS(デモトレ履歴!$P$4:$P$129,デモトレ履歴!$M$4:$M$129,"drw",デモトレ履歴!$B$4:$B$129,成績表!$A19&amp;"*")</f>
        <v>-776</v>
      </c>
      <c r="E19" s="123">
        <f t="shared" si="0"/>
        <v>16480</v>
      </c>
      <c r="F19" s="124">
        <f>COUNTIF(デモトレ履歴!$B$4:$B$129,成績表!$A19&amp;"*")</f>
        <v>10</v>
      </c>
      <c r="G19" s="124">
        <f>COUNTIFS(デモトレ履歴!$M$4:$M$129,"win",デモトレ履歴!$B$4:$B$129,成績表!$A19&amp;"*")</f>
        <v>4</v>
      </c>
      <c r="H19" s="124">
        <f>COUNTIFS(デモトレ履歴!$M$4:$M$129,"loss",デモトレ履歴!$B$4:$B$129,成績表!$A19&amp;"*")</f>
        <v>3</v>
      </c>
      <c r="I19" s="124">
        <f>COUNTIFS(デモトレ履歴!$M$4:$M$129,"drw",デモトレ履歴!$B$4:$B$129,成績表!$A19&amp;"*")</f>
        <v>3</v>
      </c>
      <c r="J19" s="125">
        <f t="shared" si="5"/>
        <v>0.4</v>
      </c>
      <c r="K19" s="123">
        <f t="shared" si="1"/>
        <v>7241.75</v>
      </c>
      <c r="L19" s="123">
        <f t="shared" si="2"/>
        <v>3903.6666666666665</v>
      </c>
      <c r="M19" s="138">
        <f t="shared" si="6"/>
        <v>1.8551148492869951</v>
      </c>
      <c r="N19" s="139">
        <f t="shared" si="3"/>
        <v>-2.4734864657159936</v>
      </c>
      <c r="AD19" s="123">
        <f t="shared" si="4"/>
        <v>11711</v>
      </c>
    </row>
    <row r="20" spans="1:30">
      <c r="A20" s="122" t="s">
        <v>185</v>
      </c>
      <c r="B20" s="123">
        <f>SUMIFS(デモトレ履歴!$P$4:$P$129,デモトレ履歴!$M$4:$M$129,"win",デモトレ履歴!$B$4:$B$129,成績表!$A20&amp;"*")</f>
        <v>39279</v>
      </c>
      <c r="C20" s="123">
        <f>SUMIFS(デモトレ履歴!$P$4:$P$129,デモトレ履歴!$M$4:$M$129,"loss",デモトレ履歴!$B$4:$B$129,成績表!$A20&amp;"*")</f>
        <v>0</v>
      </c>
      <c r="D20" s="123">
        <f>SUMIFS(デモトレ履歴!$P$4:$P$129,デモトレ履歴!$M$4:$M$129,"drw",デモトレ履歴!$B$4:$B$129,成績表!$A20&amp;"*")</f>
        <v>0</v>
      </c>
      <c r="E20" s="123">
        <f t="shared" si="0"/>
        <v>39279</v>
      </c>
      <c r="F20" s="124">
        <f>COUNTIF(デモトレ履歴!$B$4:$B$129,成績表!$A20&amp;"*")</f>
        <v>4</v>
      </c>
      <c r="G20" s="124">
        <f>COUNTIFS(デモトレ履歴!$M$4:$M$129,"win",デモトレ履歴!$B$4:$B$129,成績表!$A20&amp;"*")</f>
        <v>3</v>
      </c>
      <c r="H20" s="124">
        <f>COUNTIFS(デモトレ履歴!$M$4:$M$129,"loss",デモトレ履歴!$B$4:$B$129,成績表!$A20&amp;"*")</f>
        <v>0</v>
      </c>
      <c r="I20" s="124">
        <f>COUNTIFS(デモトレ履歴!$M$4:$M$129,"drw",デモトレ履歴!$B$4:$B$129,成績表!$A20&amp;"*")</f>
        <v>1</v>
      </c>
      <c r="J20" s="125">
        <f t="shared" si="5"/>
        <v>0.75</v>
      </c>
      <c r="K20" s="123">
        <f t="shared" si="1"/>
        <v>13093</v>
      </c>
      <c r="L20" s="123">
        <f t="shared" si="2"/>
        <v>0</v>
      </c>
      <c r="M20" s="138">
        <f t="shared" si="6"/>
        <v>0</v>
      </c>
      <c r="N20" s="139">
        <f t="shared" si="3"/>
        <v>0</v>
      </c>
      <c r="AD20" s="123">
        <f t="shared" si="4"/>
        <v>0</v>
      </c>
    </row>
    <row r="21" spans="1:30">
      <c r="A21" s="122" t="s">
        <v>189</v>
      </c>
      <c r="B21" s="123">
        <f>SUMIFS(デモトレ履歴!$P$4:$P$129,デモトレ履歴!$M$4:$M$129,"win",デモトレ履歴!$B$4:$B$129,成績表!$A21&amp;"*")</f>
        <v>7072</v>
      </c>
      <c r="C21" s="123">
        <f>SUMIFS(デモトレ履歴!$P$4:$P$129,デモトレ履歴!$M$4:$M$129,"loss",デモトレ履歴!$B$4:$B$129,成績表!$A21&amp;"*")</f>
        <v>0</v>
      </c>
      <c r="D21" s="123">
        <f>SUMIFS(デモトレ履歴!$P$4:$P$129,デモトレ履歴!$M$4:$M$129,"drw",デモトレ履歴!$B$4:$B$129,成績表!$A21&amp;"*")</f>
        <v>-412</v>
      </c>
      <c r="E21" s="123">
        <f t="shared" si="0"/>
        <v>6660</v>
      </c>
      <c r="F21" s="124">
        <f>COUNTIF(デモトレ履歴!$B$4:$B$129,成績表!$A21&amp;"*")</f>
        <v>2</v>
      </c>
      <c r="G21" s="124">
        <f>COUNTIFS(デモトレ履歴!$M$4:$M$129,"win",デモトレ履歴!$B$4:$B$129,成績表!$A21&amp;"*")</f>
        <v>1</v>
      </c>
      <c r="H21" s="124">
        <f>COUNTIFS(デモトレ履歴!$M$4:$M$129,"loss",デモトレ履歴!$B$4:$B$129,成績表!$A21&amp;"*")</f>
        <v>0</v>
      </c>
      <c r="I21" s="124">
        <f>COUNTIFS(デモトレ履歴!$M$4:$M$129,"drw",デモトレ履歴!$B$4:$B$129,成績表!$A21&amp;"*")</f>
        <v>1</v>
      </c>
      <c r="J21" s="125">
        <f t="shared" si="5"/>
        <v>0.5</v>
      </c>
      <c r="K21" s="123">
        <f t="shared" si="1"/>
        <v>7072</v>
      </c>
      <c r="L21" s="123">
        <f t="shared" si="2"/>
        <v>0</v>
      </c>
      <c r="M21" s="138">
        <f t="shared" si="6"/>
        <v>0</v>
      </c>
      <c r="N21" s="139">
        <f t="shared" si="3"/>
        <v>0</v>
      </c>
      <c r="AD21" s="123">
        <f t="shared" si="4"/>
        <v>0</v>
      </c>
    </row>
    <row r="22" spans="1:30">
      <c r="A22" s="122" t="s">
        <v>190</v>
      </c>
      <c r="B22" s="123">
        <f>SUMIFS(デモトレ履歴!$P$4:$P$129,デモトレ履歴!$M$4:$M$129,"win",デモトレ履歴!$B$4:$B$129,成績表!$A22&amp;"*")</f>
        <v>15819</v>
      </c>
      <c r="C22" s="123">
        <f>SUMIFS(デモトレ履歴!$P$4:$P$129,デモトレ履歴!$M$4:$M$129,"loss",デモトレ履歴!$B$4:$B$129,成績表!$A22&amp;"*")</f>
        <v>-24328</v>
      </c>
      <c r="D22" s="123">
        <f>SUMIFS(デモトレ履歴!$P$4:$P$129,デモトレ履歴!$M$4:$M$129,"drw",デモトレ履歴!$B$4:$B$129,成績表!$A22&amp;"*")</f>
        <v>-69</v>
      </c>
      <c r="E22" s="123">
        <f t="shared" si="0"/>
        <v>-8578</v>
      </c>
      <c r="F22" s="124">
        <f>COUNTIF(デモトレ履歴!$B$4:$B$129,成績表!$A22&amp;"*")</f>
        <v>6</v>
      </c>
      <c r="G22" s="124">
        <f>COUNTIFS(デモトレ履歴!$M$4:$M$129,"win",デモトレ履歴!$B$4:$B$129,成績表!$A22&amp;"*")</f>
        <v>2</v>
      </c>
      <c r="H22" s="124">
        <f>COUNTIFS(デモトレ履歴!$M$4:$M$129,"loss",デモトレ履歴!$B$4:$B$129,成績表!$A22&amp;"*")</f>
        <v>2</v>
      </c>
      <c r="I22" s="124">
        <f>COUNTIFS(デモトレ履歴!$M$4:$M$129,"drw",デモトレ履歴!$B$4:$B$129,成績表!$A22&amp;"*")</f>
        <v>2</v>
      </c>
      <c r="J22" s="125">
        <f t="shared" si="5"/>
        <v>0.33333333333333331</v>
      </c>
      <c r="K22" s="123">
        <f t="shared" si="1"/>
        <v>7909.5</v>
      </c>
      <c r="L22" s="123">
        <f t="shared" si="2"/>
        <v>12164</v>
      </c>
      <c r="M22" s="138">
        <f t="shared" si="6"/>
        <v>0.65023840841828351</v>
      </c>
      <c r="N22" s="139">
        <f t="shared" si="3"/>
        <v>-0.65023840841828351</v>
      </c>
      <c r="AD22" s="123">
        <f t="shared" si="4"/>
        <v>24328</v>
      </c>
    </row>
    <row r="23" spans="1:30">
      <c r="A23" s="122" t="s">
        <v>191</v>
      </c>
      <c r="B23" s="123">
        <f>SUMIFS(デモトレ履歴!$P$4:$P$129,デモトレ履歴!$M$4:$M$129,"win",デモトレ履歴!$B$4:$B$129,成績表!$A23&amp;"*")</f>
        <v>0</v>
      </c>
      <c r="C23" s="123">
        <f>SUMIFS(デモトレ履歴!$P$4:$P$129,デモトレ履歴!$M$4:$M$129,"loss",デモトレ履歴!$B$4:$B$129,成績表!$A23&amp;"*")</f>
        <v>0</v>
      </c>
      <c r="D23" s="123">
        <f>SUMIFS(デモトレ履歴!$P$4:$P$129,デモトレ履歴!$M$4:$M$129,"drw",デモトレ履歴!$B$4:$B$129,成績表!$A23&amp;"*")</f>
        <v>0</v>
      </c>
      <c r="E23" s="123">
        <f t="shared" si="0"/>
        <v>0</v>
      </c>
      <c r="F23" s="124">
        <f>COUNTIF(デモトレ履歴!$B$4:$B$129,成績表!$A23&amp;"*")</f>
        <v>0</v>
      </c>
      <c r="G23" s="124">
        <f>COUNTIFS(デモトレ履歴!$M$4:$M$129,"win",デモトレ履歴!$B$4:$B$129,成績表!$A23&amp;"*")</f>
        <v>0</v>
      </c>
      <c r="H23" s="124">
        <f>COUNTIFS(デモトレ履歴!$M$4:$M$129,"loss",デモトレ履歴!$B$4:$B$129,成績表!$A23&amp;"*")</f>
        <v>0</v>
      </c>
      <c r="I23" s="124">
        <f>COUNTIFS(デモトレ履歴!$M$4:$M$129,"drw",デモトレ履歴!$B$4:$B$129,成績表!$A23&amp;"*")</f>
        <v>0</v>
      </c>
      <c r="J23" s="125">
        <f t="shared" si="5"/>
        <v>0</v>
      </c>
      <c r="K23" s="123">
        <f t="shared" si="1"/>
        <v>0</v>
      </c>
      <c r="L23" s="123">
        <f t="shared" si="2"/>
        <v>0</v>
      </c>
      <c r="M23" s="138">
        <f t="shared" si="6"/>
        <v>0</v>
      </c>
      <c r="N23" s="139">
        <f t="shared" si="3"/>
        <v>0</v>
      </c>
      <c r="AD23" s="123">
        <f t="shared" si="4"/>
        <v>0</v>
      </c>
    </row>
    <row r="24" spans="1:30">
      <c r="A24" s="122" t="s">
        <v>192</v>
      </c>
      <c r="B24" s="123">
        <f>SUMIFS(デモトレ履歴!$P$4:$P$129,デモトレ履歴!$M$4:$M$129,"win",デモトレ履歴!$B$4:$B$129,成績表!$A24&amp;"*")</f>
        <v>0</v>
      </c>
      <c r="C24" s="123">
        <f>SUMIFS(デモトレ履歴!$P$4:$P$129,デモトレ履歴!$M$4:$M$129,"loss",デモトレ履歴!$B$4:$B$129,成績表!$A24&amp;"*")</f>
        <v>0</v>
      </c>
      <c r="D24" s="123">
        <f>SUMIFS(デモトレ履歴!$P$4:$P$129,デモトレ履歴!$M$4:$M$129,"drw",デモトレ履歴!$B$4:$B$129,成績表!$A24&amp;"*")</f>
        <v>0</v>
      </c>
      <c r="E24" s="123">
        <f t="shared" si="0"/>
        <v>0</v>
      </c>
      <c r="F24" s="124">
        <f>COUNTIF(デモトレ履歴!$B$4:$B$129,成績表!$A24&amp;"*")</f>
        <v>0</v>
      </c>
      <c r="G24" s="124">
        <f>COUNTIFS(デモトレ履歴!$M$4:$M$129,"win",デモトレ履歴!$B$4:$B$129,成績表!$A24&amp;"*")</f>
        <v>0</v>
      </c>
      <c r="H24" s="124">
        <f>COUNTIFS(デモトレ履歴!$M$4:$M$129,"loss",デモトレ履歴!$B$4:$B$129,成績表!$A24&amp;"*")</f>
        <v>0</v>
      </c>
      <c r="I24" s="124">
        <f>COUNTIFS(デモトレ履歴!$M$4:$M$129,"drw",デモトレ履歴!$B$4:$B$129,成績表!$A24&amp;"*")</f>
        <v>0</v>
      </c>
      <c r="J24" s="125">
        <f t="shared" si="5"/>
        <v>0</v>
      </c>
      <c r="K24" s="123">
        <f t="shared" si="1"/>
        <v>0</v>
      </c>
      <c r="L24" s="123">
        <f t="shared" si="2"/>
        <v>0</v>
      </c>
      <c r="M24" s="138">
        <f t="shared" si="6"/>
        <v>0</v>
      </c>
      <c r="N24" s="139">
        <f t="shared" si="3"/>
        <v>0</v>
      </c>
      <c r="AD24" s="123">
        <f t="shared" si="4"/>
        <v>0</v>
      </c>
    </row>
    <row r="25" spans="1:30">
      <c r="A25" s="122" t="s">
        <v>193</v>
      </c>
      <c r="B25" s="123">
        <f>SUMIFS(デモトレ履歴!$P$4:$P$129,デモトレ履歴!$M$4:$M$129,"win",デモトレ履歴!$B$4:$B$129,成績表!$A25&amp;"*")</f>
        <v>0</v>
      </c>
      <c r="C25" s="123">
        <f>SUMIFS(デモトレ履歴!$P$4:$P$129,デモトレ履歴!$M$4:$M$129,"loss",デモトレ履歴!$B$4:$B$129,成績表!$A25&amp;"*")</f>
        <v>-12885</v>
      </c>
      <c r="D25" s="123">
        <f>SUMIFS(デモトレ履歴!$P$4:$P$129,デモトレ履歴!$M$4:$M$129,"drw",デモトレ履歴!$B$4:$B$129,成績表!$A25&amp;"*")</f>
        <v>0</v>
      </c>
      <c r="E25" s="123">
        <f t="shared" si="0"/>
        <v>-12885</v>
      </c>
      <c r="F25" s="124">
        <f>COUNTIF(デモトレ履歴!$B$4:$B$129,成績表!$A25&amp;"*")</f>
        <v>1</v>
      </c>
      <c r="G25" s="124">
        <f>COUNTIFS(デモトレ履歴!$M$4:$M$129,"win",デモトレ履歴!$B$4:$B$129,成績表!$A25&amp;"*")</f>
        <v>0</v>
      </c>
      <c r="H25" s="124">
        <f>COUNTIFS(デモトレ履歴!$M$4:$M$129,"loss",デモトレ履歴!$B$4:$B$129,成績表!$A25&amp;"*")</f>
        <v>1</v>
      </c>
      <c r="I25" s="124">
        <f>COUNTIFS(デモトレ履歴!$M$4:$M$129,"drw",デモトレ履歴!$B$4:$B$129,成績表!$A25&amp;"*")</f>
        <v>0</v>
      </c>
      <c r="J25" s="125">
        <f t="shared" si="5"/>
        <v>0</v>
      </c>
      <c r="K25" s="123">
        <f t="shared" si="1"/>
        <v>0</v>
      </c>
      <c r="L25" s="123">
        <f t="shared" si="2"/>
        <v>12885</v>
      </c>
      <c r="M25" s="138">
        <f t="shared" si="6"/>
        <v>0</v>
      </c>
      <c r="N25" s="139">
        <f t="shared" si="3"/>
        <v>0</v>
      </c>
      <c r="AD25" s="123">
        <f t="shared" si="4"/>
        <v>12885</v>
      </c>
    </row>
    <row r="26" spans="1:30">
      <c r="A26" s="122" t="s">
        <v>194</v>
      </c>
      <c r="B26" s="123">
        <f>SUMIFS(デモトレ履歴!$P$4:$P$129,デモトレ履歴!$M$4:$M$129,"win",デモトレ履歴!$B$4:$B$129,成績表!$A26&amp;"*")</f>
        <v>0</v>
      </c>
      <c r="C26" s="123">
        <f>SUMIFS(デモトレ履歴!$P$4:$P$129,デモトレ履歴!$M$4:$M$129,"loss",デモトレ履歴!$B$4:$B$129,成績表!$A26&amp;"*")</f>
        <v>-9553</v>
      </c>
      <c r="D26" s="123">
        <f>SUMIFS(デモトレ履歴!$P$4:$P$129,デモトレ履歴!$M$4:$M$129,"drw",デモトレ履歴!$B$4:$B$129,成績表!$A26&amp;"*")</f>
        <v>0</v>
      </c>
      <c r="E26" s="123">
        <f t="shared" si="0"/>
        <v>-9553</v>
      </c>
      <c r="F26" s="124">
        <f>COUNTIF(デモトレ履歴!$B$4:$B$129,成績表!$A26&amp;"*")</f>
        <v>1</v>
      </c>
      <c r="G26" s="124">
        <f>COUNTIFS(デモトレ履歴!$M$4:$M$129,"win",デモトレ履歴!$B$4:$B$129,成績表!$A26&amp;"*")</f>
        <v>0</v>
      </c>
      <c r="H26" s="124">
        <f>COUNTIFS(デモトレ履歴!$M$4:$M$129,"loss",デモトレ履歴!$B$4:$B$129,成績表!$A26&amp;"*")</f>
        <v>1</v>
      </c>
      <c r="I26" s="124">
        <f>COUNTIFS(デモトレ履歴!$M$4:$M$129,"drw",デモトレ履歴!$B$4:$B$129,成績表!$A26&amp;"*")</f>
        <v>0</v>
      </c>
      <c r="J26" s="125">
        <f t="shared" si="5"/>
        <v>0</v>
      </c>
      <c r="K26" s="123">
        <f t="shared" si="1"/>
        <v>0</v>
      </c>
      <c r="L26" s="123">
        <f t="shared" si="2"/>
        <v>9553</v>
      </c>
      <c r="M26" s="138">
        <f t="shared" si="6"/>
        <v>0</v>
      </c>
      <c r="N26" s="139">
        <f t="shared" si="3"/>
        <v>0</v>
      </c>
      <c r="AD26" s="123">
        <f t="shared" si="4"/>
        <v>9553</v>
      </c>
    </row>
    <row r="27" spans="1:30">
      <c r="A27" s="122" t="s">
        <v>195</v>
      </c>
      <c r="B27" s="123">
        <f>SUMIFS(デモトレ履歴!$P$4:$P$129,デモトレ履歴!$M$4:$M$129,"win",デモトレ履歴!$B$4:$B$129,成績表!$A27&amp;"*")</f>
        <v>0</v>
      </c>
      <c r="C27" s="123">
        <f>SUMIFS(デモトレ履歴!$P$4:$P$129,デモトレ履歴!$M$4:$M$129,"loss",デモトレ履歴!$B$4:$B$129,成績表!$A27&amp;"*")</f>
        <v>-3491</v>
      </c>
      <c r="D27" s="123">
        <f>SUMIFS(デモトレ履歴!$P$4:$P$129,デモトレ履歴!$M$4:$M$129,"drw",デモトレ履歴!$B$4:$B$129,成績表!$A27&amp;"*")</f>
        <v>0</v>
      </c>
      <c r="E27" s="123">
        <f t="shared" si="0"/>
        <v>-3491</v>
      </c>
      <c r="F27" s="124">
        <f>COUNTIF(デモトレ履歴!$B$4:$B$129,成績表!$A27&amp;"*")</f>
        <v>1</v>
      </c>
      <c r="G27" s="124">
        <f>COUNTIFS(デモトレ履歴!$M$4:$M$129,"win",デモトレ履歴!$B$4:$B$129,成績表!$A27&amp;"*")</f>
        <v>0</v>
      </c>
      <c r="H27" s="124">
        <f>COUNTIFS(デモトレ履歴!$M$4:$M$129,"loss",デモトレ履歴!$B$4:$B$129,成績表!$A27&amp;"*")</f>
        <v>1</v>
      </c>
      <c r="I27" s="124">
        <f>COUNTIFS(デモトレ履歴!$M$4:$M$129,"drw",デモトレ履歴!$B$4:$B$129,成績表!$A27&amp;"*")</f>
        <v>0</v>
      </c>
      <c r="J27" s="125">
        <f t="shared" si="5"/>
        <v>0</v>
      </c>
      <c r="K27" s="123">
        <f t="shared" si="1"/>
        <v>0</v>
      </c>
      <c r="L27" s="123">
        <f t="shared" si="2"/>
        <v>3491</v>
      </c>
      <c r="M27" s="138">
        <f t="shared" si="6"/>
        <v>0</v>
      </c>
      <c r="N27" s="139">
        <f t="shared" si="3"/>
        <v>0</v>
      </c>
      <c r="AD27" s="123">
        <f t="shared" si="4"/>
        <v>3491</v>
      </c>
    </row>
    <row r="28" spans="1:30">
      <c r="A28" s="122" t="s">
        <v>196</v>
      </c>
      <c r="B28" s="123">
        <f>SUMIFS(デモトレ履歴!$P$4:$P$129,デモトレ履歴!$M$4:$M$129,"win",デモトレ履歴!$B$4:$B$129,成績表!$A28&amp;"*")</f>
        <v>7443</v>
      </c>
      <c r="C28" s="123">
        <f>SUMIFS(デモトレ履歴!$P$4:$P$129,デモトレ履歴!$M$4:$M$129,"loss",デモトレ履歴!$B$4:$B$129,成績表!$A28&amp;"*")</f>
        <v>0</v>
      </c>
      <c r="D28" s="123">
        <f>SUMIFS(デモトレ履歴!$P$4:$P$129,デモトレ履歴!$M$4:$M$129,"drw",デモトレ履歴!$B$4:$B$129,成績表!$A28&amp;"*")</f>
        <v>0</v>
      </c>
      <c r="E28" s="123">
        <f t="shared" si="0"/>
        <v>7443</v>
      </c>
      <c r="F28" s="124">
        <f>COUNTIF(デモトレ履歴!$B$4:$B$129,成績表!$A28&amp;"*")</f>
        <v>1</v>
      </c>
      <c r="G28" s="124">
        <f>COUNTIFS(デモトレ履歴!$M$4:$M$129,"win",デモトレ履歴!$B$4:$B$129,成績表!$A28&amp;"*")</f>
        <v>1</v>
      </c>
      <c r="H28" s="124">
        <f>COUNTIFS(デモトレ履歴!$M$4:$M$129,"loss",デモトレ履歴!$B$4:$B$129,成績表!$A28&amp;"*")</f>
        <v>0</v>
      </c>
      <c r="I28" s="124">
        <f>COUNTIFS(デモトレ履歴!$M$4:$M$129,"drw",デモトレ履歴!$B$4:$B$129,成績表!$A28&amp;"*")</f>
        <v>0</v>
      </c>
      <c r="J28" s="125">
        <f t="shared" si="5"/>
        <v>1</v>
      </c>
      <c r="K28" s="123">
        <f t="shared" si="1"/>
        <v>7443</v>
      </c>
      <c r="L28" s="123">
        <f t="shared" si="2"/>
        <v>0</v>
      </c>
      <c r="M28" s="138">
        <f t="shared" si="6"/>
        <v>0</v>
      </c>
      <c r="N28" s="139">
        <f t="shared" si="3"/>
        <v>0</v>
      </c>
      <c r="AD28" s="123">
        <f t="shared" si="4"/>
        <v>0</v>
      </c>
    </row>
    <row r="29" spans="1:30">
      <c r="A29" s="122" t="s">
        <v>197</v>
      </c>
      <c r="B29" s="123">
        <f>SUMIFS(デモトレ履歴!$P$4:$P$129,デモトレ履歴!$M$4:$M$129,"win",デモトレ履歴!$B$4:$B$129,成績表!$A29&amp;"*")</f>
        <v>0</v>
      </c>
      <c r="C29" s="123">
        <f>SUMIFS(デモトレ履歴!$P$4:$P$129,デモトレ履歴!$M$4:$M$129,"loss",デモトレ履歴!$B$4:$B$129,成績表!$A29&amp;"*")</f>
        <v>0</v>
      </c>
      <c r="D29" s="123">
        <f>SUMIFS(デモトレ履歴!$P$4:$P$129,デモトレ履歴!$M$4:$M$129,"drw",デモトレ履歴!$B$4:$B$129,成績表!$A29&amp;"*")</f>
        <v>0</v>
      </c>
      <c r="E29" s="123">
        <f t="shared" si="0"/>
        <v>0</v>
      </c>
      <c r="F29" s="124">
        <f>COUNTIF(デモトレ履歴!$B$4:$B$129,成績表!$A29&amp;"*")</f>
        <v>0</v>
      </c>
      <c r="G29" s="124">
        <f>COUNTIFS(デモトレ履歴!$M$4:$M$129,"win",デモトレ履歴!$B$4:$B$129,成績表!$A29&amp;"*")</f>
        <v>0</v>
      </c>
      <c r="H29" s="124">
        <f>COUNTIFS(デモトレ履歴!$M$4:$M$129,"loss",デモトレ履歴!$B$4:$B$129,成績表!$A29&amp;"*")</f>
        <v>0</v>
      </c>
      <c r="I29" s="124">
        <f>COUNTIFS(デモトレ履歴!$M$4:$M$129,"drw",デモトレ履歴!$B$4:$B$129,成績表!$A29&amp;"*")</f>
        <v>0</v>
      </c>
      <c r="J29" s="125">
        <f t="shared" si="5"/>
        <v>0</v>
      </c>
      <c r="K29" s="123">
        <f t="shared" si="1"/>
        <v>0</v>
      </c>
      <c r="L29" s="123">
        <f t="shared" si="2"/>
        <v>0</v>
      </c>
      <c r="M29" s="138">
        <f t="shared" si="6"/>
        <v>0</v>
      </c>
      <c r="N29" s="139">
        <f t="shared" si="3"/>
        <v>0</v>
      </c>
      <c r="AD29" s="123">
        <f t="shared" si="4"/>
        <v>0</v>
      </c>
    </row>
    <row r="30" spans="1:30">
      <c r="A30" s="122" t="s">
        <v>198</v>
      </c>
      <c r="B30" s="123">
        <f>SUMIFS(デモトレ履歴!$P$4:$P$129,デモトレ履歴!$M$4:$M$129,"win",デモトレ履歴!$B$4:$B$129,成績表!$A30&amp;"*")</f>
        <v>0</v>
      </c>
      <c r="C30" s="123">
        <f>SUMIFS(デモトレ履歴!$P$4:$P$129,デモトレ履歴!$M$4:$M$129,"loss",デモトレ履歴!$B$4:$B$129,成績表!$A30&amp;"*")</f>
        <v>0</v>
      </c>
      <c r="D30" s="123">
        <f>SUMIFS(デモトレ履歴!$P$4:$P$129,デモトレ履歴!$M$4:$M$129,"drw",デモトレ履歴!$B$4:$B$129,成績表!$A30&amp;"*")</f>
        <v>256</v>
      </c>
      <c r="E30" s="123">
        <f t="shared" si="0"/>
        <v>256</v>
      </c>
      <c r="F30" s="124">
        <f>COUNTIF(デモトレ履歴!$B$4:$B$129,成績表!$A30&amp;"*")</f>
        <v>1</v>
      </c>
      <c r="G30" s="124">
        <f>COUNTIFS(デモトレ履歴!$M$4:$M$129,"win",デモトレ履歴!$B$4:$B$129,成績表!$A30&amp;"*")</f>
        <v>0</v>
      </c>
      <c r="H30" s="124">
        <f>COUNTIFS(デモトレ履歴!$M$4:$M$129,"loss",デモトレ履歴!$B$4:$B$129,成績表!$A30&amp;"*")</f>
        <v>0</v>
      </c>
      <c r="I30" s="124">
        <f>COUNTIFS(デモトレ履歴!$M$4:$M$129,"drw",デモトレ履歴!$B$4:$B$129,成績表!$A30&amp;"*")</f>
        <v>1</v>
      </c>
      <c r="J30" s="125">
        <f t="shared" si="5"/>
        <v>0</v>
      </c>
      <c r="K30" s="123">
        <f t="shared" si="1"/>
        <v>0</v>
      </c>
      <c r="L30" s="123">
        <f t="shared" si="2"/>
        <v>0</v>
      </c>
      <c r="M30" s="138">
        <f t="shared" si="6"/>
        <v>0</v>
      </c>
      <c r="N30" s="139">
        <f t="shared" si="3"/>
        <v>0</v>
      </c>
      <c r="AD30" s="123">
        <f t="shared" si="4"/>
        <v>0</v>
      </c>
    </row>
    <row r="31" spans="1:30">
      <c r="A31" s="122" t="s">
        <v>199</v>
      </c>
      <c r="B31" s="123">
        <f>SUMIFS(デモトレ履歴!$P$4:$P$129,デモトレ履歴!$M$4:$M$129,"win",デモトレ履歴!$B$4:$B$129,成績表!$A31&amp;"*")</f>
        <v>2520</v>
      </c>
      <c r="C31" s="123">
        <f>SUMIFS(デモトレ履歴!$P$4:$P$129,デモトレ履歴!$M$4:$M$129,"loss",デモトレ履歴!$B$4:$B$129,成績表!$A31&amp;"*")</f>
        <v>-9240</v>
      </c>
      <c r="D31" s="123">
        <f>SUMIFS(デモトレ履歴!$P$4:$P$129,デモトレ履歴!$M$4:$M$129,"drw",デモトレ履歴!$B$4:$B$129,成績表!$A31&amp;"*")</f>
        <v>-670</v>
      </c>
      <c r="E31" s="123">
        <f t="shared" si="0"/>
        <v>-7390</v>
      </c>
      <c r="F31" s="124">
        <f>COUNTIF(デモトレ履歴!$B$4:$B$129,成績表!$A31&amp;"*")</f>
        <v>4</v>
      </c>
      <c r="G31" s="124">
        <f>COUNTIFS(デモトレ履歴!$M$4:$M$129,"win",デモトレ履歴!$B$4:$B$129,成績表!$A31&amp;"*")</f>
        <v>1</v>
      </c>
      <c r="H31" s="124">
        <f>COUNTIFS(デモトレ履歴!$M$4:$M$129,"loss",デモトレ履歴!$B$4:$B$129,成績表!$A31&amp;"*")</f>
        <v>1</v>
      </c>
      <c r="I31" s="124">
        <f>COUNTIFS(デモトレ履歴!$M$4:$M$129,"drw",デモトレ履歴!$B$4:$B$129,成績表!$A31&amp;"*")</f>
        <v>2</v>
      </c>
      <c r="J31" s="125">
        <f t="shared" si="5"/>
        <v>0.25</v>
      </c>
      <c r="K31" s="123">
        <f t="shared" si="1"/>
        <v>2520</v>
      </c>
      <c r="L31" s="123">
        <f t="shared" si="2"/>
        <v>9240</v>
      </c>
      <c r="M31" s="138">
        <f t="shared" si="6"/>
        <v>0.27272727272727271</v>
      </c>
      <c r="N31" s="139">
        <f t="shared" si="3"/>
        <v>-0.27272727272727271</v>
      </c>
      <c r="AD31" s="123">
        <f t="shared" si="4"/>
        <v>9240</v>
      </c>
    </row>
    <row r="32" spans="1:30">
      <c r="A32" s="122" t="s">
        <v>200</v>
      </c>
      <c r="B32" s="123">
        <f>SUMIFS(デモトレ履歴!$P$4:$P$129,デモトレ履歴!$M$4:$M$129,"win",デモトレ履歴!$B$4:$B$129,成績表!$A32&amp;"*")</f>
        <v>4194</v>
      </c>
      <c r="C32" s="123">
        <f>SUMIFS(デモトレ履歴!$P$4:$P$129,デモトレ履歴!$M$4:$M$129,"loss",デモトレ履歴!$B$4:$B$129,成績表!$A32&amp;"*")</f>
        <v>0</v>
      </c>
      <c r="D32" s="123">
        <f>SUMIFS(デモトレ履歴!$P$4:$P$129,デモトレ履歴!$M$4:$M$129,"drw",デモトレ履歴!$B$4:$B$129,成績表!$A32&amp;"*")</f>
        <v>101</v>
      </c>
      <c r="E32" s="123">
        <f t="shared" si="0"/>
        <v>4295</v>
      </c>
      <c r="F32" s="124">
        <f>COUNTIF(デモトレ履歴!$B$4:$B$129,成績表!$A32&amp;"*")</f>
        <v>3</v>
      </c>
      <c r="G32" s="124">
        <f>COUNTIFS(デモトレ履歴!$M$4:$M$129,"win",デモトレ履歴!$B$4:$B$129,成績表!$A32&amp;"*")</f>
        <v>1</v>
      </c>
      <c r="H32" s="124">
        <f>COUNTIFS(デモトレ履歴!$M$4:$M$129,"loss",デモトレ履歴!$B$4:$B$129,成績表!$A32&amp;"*")</f>
        <v>0</v>
      </c>
      <c r="I32" s="124">
        <f>COUNTIFS(デモトレ履歴!$M$4:$M$129,"drw",デモトレ履歴!$B$4:$B$129,成績表!$A32&amp;"*")</f>
        <v>2</v>
      </c>
      <c r="J32" s="125">
        <f t="shared" si="5"/>
        <v>0.33333333333333331</v>
      </c>
      <c r="K32" s="123">
        <f t="shared" si="1"/>
        <v>4194</v>
      </c>
      <c r="L32" s="123">
        <f t="shared" si="2"/>
        <v>0</v>
      </c>
      <c r="M32" s="138">
        <f t="shared" si="6"/>
        <v>0</v>
      </c>
      <c r="N32" s="139">
        <f t="shared" si="3"/>
        <v>0</v>
      </c>
      <c r="AD32" s="123">
        <f t="shared" si="4"/>
        <v>0</v>
      </c>
    </row>
    <row r="33" spans="1:30">
      <c r="A33" s="122" t="s">
        <v>201</v>
      </c>
      <c r="B33" s="123">
        <f>SUMIFS(デモトレ履歴!$P$4:$P$129,デモトレ履歴!$M$4:$M$129,"win",デモトレ履歴!$B$4:$B$129,成績表!$A33&amp;"*")</f>
        <v>0</v>
      </c>
      <c r="C33" s="123">
        <f>SUMIFS(デモトレ履歴!$P$4:$P$129,デモトレ履歴!$M$4:$M$129,"loss",デモトレ履歴!$B$4:$B$129,成績表!$A33&amp;"*")</f>
        <v>-8760</v>
      </c>
      <c r="D33" s="123">
        <f>SUMIFS(デモトレ履歴!$P$4:$P$129,デモトレ履歴!$M$4:$M$129,"drw",デモトレ履歴!$B$4:$B$129,成績表!$A33&amp;"*")</f>
        <v>0</v>
      </c>
      <c r="E33" s="123">
        <f t="shared" si="0"/>
        <v>-8760</v>
      </c>
      <c r="F33" s="124">
        <f>COUNTIF(デモトレ履歴!$B$4:$B$129,成績表!$A33&amp;"*")</f>
        <v>1</v>
      </c>
      <c r="G33" s="124">
        <f>COUNTIFS(デモトレ履歴!$M$4:$M$129,"win",デモトレ履歴!$B$4:$B$129,成績表!$A33&amp;"*")</f>
        <v>0</v>
      </c>
      <c r="H33" s="124">
        <f>COUNTIFS(デモトレ履歴!$M$4:$M$129,"loss",デモトレ履歴!$B$4:$B$129,成績表!$A33&amp;"*")</f>
        <v>1</v>
      </c>
      <c r="I33" s="124">
        <f>COUNTIFS(デモトレ履歴!$M$4:$M$129,"drw",デモトレ履歴!$B$4:$B$129,成績表!$A33&amp;"*")</f>
        <v>0</v>
      </c>
      <c r="J33" s="125">
        <f t="shared" si="5"/>
        <v>0</v>
      </c>
      <c r="K33" s="123">
        <f t="shared" si="1"/>
        <v>0</v>
      </c>
      <c r="L33" s="123">
        <f t="shared" si="2"/>
        <v>8760</v>
      </c>
      <c r="M33" s="138">
        <f t="shared" si="6"/>
        <v>0</v>
      </c>
      <c r="N33" s="139">
        <f t="shared" si="3"/>
        <v>0</v>
      </c>
      <c r="AD33" s="123">
        <f t="shared" si="4"/>
        <v>8760</v>
      </c>
    </row>
    <row r="34" spans="1:30">
      <c r="A34" s="122" t="s">
        <v>202</v>
      </c>
      <c r="B34" s="123">
        <f>SUMIFS(デモトレ履歴!$P$4:$P$129,デモトレ履歴!$M$4:$M$129,"win",デモトレ履歴!$B$4:$B$129,成績表!$A34&amp;"*")</f>
        <v>0</v>
      </c>
      <c r="C34" s="123">
        <f>SUMIFS(デモトレ履歴!$P$4:$P$129,デモトレ履歴!$M$4:$M$129,"loss",デモトレ履歴!$B$4:$B$129,成績表!$A34&amp;"*")</f>
        <v>0</v>
      </c>
      <c r="D34" s="123">
        <f>SUMIFS(デモトレ履歴!$P$4:$P$129,デモトレ履歴!$M$4:$M$129,"drw",デモトレ履歴!$B$4:$B$129,成績表!$A34&amp;"*")</f>
        <v>-769</v>
      </c>
      <c r="E34" s="123">
        <f t="shared" si="0"/>
        <v>-769</v>
      </c>
      <c r="F34" s="124">
        <f>COUNTIF(デモトレ履歴!$B$4:$B$129,成績表!$A34&amp;"*")</f>
        <v>3</v>
      </c>
      <c r="G34" s="124">
        <f>COUNTIFS(デモトレ履歴!$M$4:$M$129,"win",デモトレ履歴!$B$4:$B$129,成績表!$A34&amp;"*")</f>
        <v>0</v>
      </c>
      <c r="H34" s="124">
        <f>COUNTIFS(デモトレ履歴!$M$4:$M$129,"loss",デモトレ履歴!$B$4:$B$129,成績表!$A34&amp;"*")</f>
        <v>0</v>
      </c>
      <c r="I34" s="124">
        <f>COUNTIFS(デモトレ履歴!$M$4:$M$129,"drw",デモトレ履歴!$B$4:$B$129,成績表!$A34&amp;"*")</f>
        <v>3</v>
      </c>
      <c r="J34" s="125">
        <f t="shared" si="5"/>
        <v>0</v>
      </c>
      <c r="K34" s="123">
        <f t="shared" si="1"/>
        <v>0</v>
      </c>
      <c r="L34" s="123">
        <f t="shared" si="2"/>
        <v>0</v>
      </c>
      <c r="M34" s="138">
        <f t="shared" si="6"/>
        <v>0</v>
      </c>
      <c r="N34" s="139">
        <f t="shared" si="3"/>
        <v>0</v>
      </c>
      <c r="AD34" s="123">
        <f t="shared" si="4"/>
        <v>0</v>
      </c>
    </row>
    <row r="35" spans="1:30">
      <c r="A35" s="122" t="s">
        <v>203</v>
      </c>
      <c r="B35" s="123">
        <f>SUMIFS(デモトレ履歴!$P$4:$P$129,デモトレ履歴!$M$4:$M$129,"win",デモトレ履歴!$B$4:$B$129,成績表!$A35&amp;"*")</f>
        <v>0</v>
      </c>
      <c r="C35" s="123">
        <f>SUMIFS(デモトレ履歴!$P$4:$P$129,デモトレ履歴!$M$4:$M$129,"loss",デモトレ履歴!$B$4:$B$129,成績表!$A35&amp;"*")</f>
        <v>-20329</v>
      </c>
      <c r="D35" s="123">
        <f>SUMIFS(デモトレ履歴!$P$4:$P$129,デモトレ履歴!$M$4:$M$129,"drw",デモトレ履歴!$B$4:$B$129,成績表!$A35&amp;"*")</f>
        <v>0</v>
      </c>
      <c r="E35" s="123">
        <f t="shared" si="0"/>
        <v>-20329</v>
      </c>
      <c r="F35" s="124">
        <f>COUNTIF(デモトレ履歴!$B$4:$B$129,成績表!$A35&amp;"*")</f>
        <v>2</v>
      </c>
      <c r="G35" s="124">
        <f>COUNTIFS(デモトレ履歴!$M$4:$M$129,"win",デモトレ履歴!$B$4:$B$129,成績表!$A35&amp;"*")</f>
        <v>0</v>
      </c>
      <c r="H35" s="124">
        <f>COUNTIFS(デモトレ履歴!$M$4:$M$129,"loss",デモトレ履歴!$B$4:$B$129,成績表!$A35&amp;"*")</f>
        <v>2</v>
      </c>
      <c r="I35" s="124">
        <f>COUNTIFS(デモトレ履歴!$M$4:$M$129,"drw",デモトレ履歴!$B$4:$B$129,成績表!$A35&amp;"*")</f>
        <v>0</v>
      </c>
      <c r="J35" s="125">
        <f t="shared" si="5"/>
        <v>0</v>
      </c>
      <c r="K35" s="123">
        <f t="shared" si="1"/>
        <v>0</v>
      </c>
      <c r="L35" s="123">
        <f t="shared" si="2"/>
        <v>10164.5</v>
      </c>
      <c r="M35" s="138">
        <f t="shared" si="6"/>
        <v>0</v>
      </c>
      <c r="N35" s="139">
        <f t="shared" si="3"/>
        <v>0</v>
      </c>
      <c r="AD35" s="123">
        <f t="shared" si="4"/>
        <v>20329</v>
      </c>
    </row>
    <row r="36" spans="1:30">
      <c r="A36" s="126" t="s">
        <v>204</v>
      </c>
      <c r="B36" s="123">
        <f>SUMIFS(デモトレ履歴!$P$4:$P$129,デモトレ履歴!$M$4:$M$129,"win",デモトレ履歴!$B$4:$B$129,成績表!$A36&amp;"*")</f>
        <v>0</v>
      </c>
      <c r="C36" s="123">
        <f>SUMIFS(デモトレ履歴!$P$4:$P$129,デモトレ履歴!$M$4:$M$129,"loss",デモトレ履歴!$B$4:$B$129,成績表!$A36&amp;"*")</f>
        <v>-23121</v>
      </c>
      <c r="D36" s="123">
        <f>SUMIFS(デモトレ履歴!$P$4:$P$129,デモトレ履歴!$M$4:$M$129,"drw",デモトレ履歴!$B$4:$B$129,成績表!$A36&amp;"*")</f>
        <v>0</v>
      </c>
      <c r="E36" s="123">
        <f t="shared" si="0"/>
        <v>-23121</v>
      </c>
      <c r="F36" s="124">
        <f>COUNTIF(デモトレ履歴!$B$4:$B$129,成績表!$A36&amp;"*")</f>
        <v>3</v>
      </c>
      <c r="G36" s="124">
        <f>COUNTIFS(デモトレ履歴!$M$4:$M$129,"win",デモトレ履歴!$B$4:$B$129,成績表!$A36&amp;"*")</f>
        <v>0</v>
      </c>
      <c r="H36" s="124">
        <f>COUNTIFS(デモトレ履歴!$M$4:$M$129,"loss",デモトレ履歴!$B$4:$B$129,成績表!$A36&amp;"*")</f>
        <v>3</v>
      </c>
      <c r="I36" s="124">
        <f>COUNTIFS(デモトレ履歴!$M$4:$M$129,"drw",デモトレ履歴!$B$4:$B$129,成績表!$A36&amp;"*")</f>
        <v>0</v>
      </c>
      <c r="J36" s="127">
        <f t="shared" si="5"/>
        <v>0</v>
      </c>
      <c r="K36" s="128">
        <f t="shared" si="1"/>
        <v>0</v>
      </c>
      <c r="L36" s="128">
        <f t="shared" si="2"/>
        <v>7707</v>
      </c>
      <c r="M36" s="140">
        <f>IF(AND(K36&lt;&gt;0,L36&lt;&gt;0),K36/L36,0)</f>
        <v>0</v>
      </c>
      <c r="N36" s="141">
        <f t="shared" si="3"/>
        <v>0</v>
      </c>
      <c r="AD36" s="123">
        <f t="shared" si="4"/>
        <v>23121</v>
      </c>
    </row>
    <row r="37" spans="1:30">
      <c r="A37" s="129" t="s">
        <v>170</v>
      </c>
      <c r="B37" s="130">
        <f t="shared" ref="B37:I37" si="7">SUM(B9:B36)</f>
        <v>223693</v>
      </c>
      <c r="C37" s="130">
        <f t="shared" si="7"/>
        <v>-318465</v>
      </c>
      <c r="D37" s="130">
        <f t="shared" si="7"/>
        <v>-2728</v>
      </c>
      <c r="E37" s="130">
        <f t="shared" si="7"/>
        <v>-97500</v>
      </c>
      <c r="F37" s="131">
        <f t="shared" si="7"/>
        <v>88</v>
      </c>
      <c r="G37" s="131">
        <f t="shared" si="7"/>
        <v>22</v>
      </c>
      <c r="H37" s="131">
        <f t="shared" si="7"/>
        <v>41</v>
      </c>
      <c r="I37" s="131">
        <f t="shared" si="7"/>
        <v>25</v>
      </c>
      <c r="J37" s="132"/>
      <c r="K37" s="225" t="s">
        <v>171</v>
      </c>
      <c r="L37" s="226"/>
      <c r="M37" s="226"/>
      <c r="N37" s="227"/>
      <c r="AD37" s="130"/>
    </row>
    <row r="38" spans="1:30" ht="36">
      <c r="A38" s="111"/>
      <c r="B38" s="133"/>
      <c r="C38" s="111"/>
      <c r="D38" s="111"/>
      <c r="E38" s="111"/>
      <c r="F38" s="111"/>
      <c r="G38" s="111"/>
      <c r="H38" s="228" t="s">
        <v>172</v>
      </c>
      <c r="I38" s="229"/>
      <c r="J38" s="134">
        <f>AVERAGE(J9:J36)</f>
        <v>0.21411564625850341</v>
      </c>
      <c r="K38" s="129" t="s">
        <v>166</v>
      </c>
      <c r="L38" s="129" t="s">
        <v>167</v>
      </c>
      <c r="M38" s="135" t="s">
        <v>173</v>
      </c>
      <c r="N38" s="135" t="s">
        <v>169</v>
      </c>
      <c r="AD38" s="111"/>
    </row>
    <row r="39" spans="1:30">
      <c r="A39" s="111"/>
      <c r="B39" s="111"/>
      <c r="C39" s="111"/>
      <c r="D39" s="111"/>
      <c r="E39" s="111"/>
      <c r="F39" s="111"/>
      <c r="G39" s="111"/>
      <c r="H39" s="229" t="s">
        <v>174</v>
      </c>
      <c r="I39" s="229"/>
      <c r="J39" s="134">
        <f>G37/F37</f>
        <v>0.25</v>
      </c>
      <c r="K39" s="130">
        <f>AVERAGE(K9:K36)</f>
        <v>4955.7113095238092</v>
      </c>
      <c r="L39" s="130">
        <f>AVERAGE(L9:L36)</f>
        <v>4847.4904761904763</v>
      </c>
      <c r="M39" s="142">
        <f>IF(AND(K39&lt;&gt;0,L39&lt;&gt;0),K39/L39,0)</f>
        <v>1.022325125519046</v>
      </c>
      <c r="N39" s="142">
        <f>IF(AND(B37&lt;&gt;0,C37&lt;&gt;0),B37/C37,0)</f>
        <v>-0.70240999795895942</v>
      </c>
      <c r="AD39" s="111"/>
    </row>
    <row r="43" spans="1:30" ht="17.25">
      <c r="A43" s="143" t="s">
        <v>207</v>
      </c>
      <c r="B43" s="111"/>
      <c r="C43" s="111"/>
      <c r="D43" s="111"/>
      <c r="E43" s="111"/>
      <c r="F43" s="111"/>
      <c r="G43" s="111"/>
      <c r="H43" s="111"/>
      <c r="I43" s="111"/>
      <c r="J43" s="111"/>
      <c r="K43" s="111"/>
      <c r="L43" s="111"/>
      <c r="M43" s="111"/>
      <c r="N43" s="111"/>
    </row>
    <row r="44" spans="1:30">
      <c r="A44" s="111"/>
      <c r="B44" s="111"/>
      <c r="C44" s="111"/>
      <c r="D44" s="111"/>
      <c r="E44" s="111"/>
      <c r="F44" s="111"/>
      <c r="G44" s="111"/>
      <c r="H44" s="111"/>
      <c r="I44" s="111"/>
      <c r="J44" s="111"/>
      <c r="K44" s="111"/>
      <c r="L44" s="111"/>
      <c r="M44" s="111"/>
      <c r="N44" s="111"/>
    </row>
    <row r="45" spans="1:30" ht="36">
      <c r="A45" s="144" t="s">
        <v>208</v>
      </c>
      <c r="B45" s="144" t="s">
        <v>209</v>
      </c>
      <c r="C45" s="144" t="s">
        <v>210</v>
      </c>
      <c r="D45" s="144" t="s">
        <v>211</v>
      </c>
      <c r="E45" s="145" t="s">
        <v>212</v>
      </c>
      <c r="F45" s="144" t="s">
        <v>213</v>
      </c>
      <c r="G45" s="144" t="s">
        <v>214</v>
      </c>
      <c r="H45" s="144" t="s">
        <v>215</v>
      </c>
      <c r="I45" s="144" t="s">
        <v>216</v>
      </c>
      <c r="J45" s="144" t="s">
        <v>166</v>
      </c>
      <c r="K45" s="144" t="s">
        <v>167</v>
      </c>
      <c r="L45" s="145" t="s">
        <v>222</v>
      </c>
      <c r="M45" s="145" t="s">
        <v>223</v>
      </c>
      <c r="N45" s="145" t="s">
        <v>186</v>
      </c>
      <c r="O45" s="145" t="s">
        <v>217</v>
      </c>
    </row>
    <row r="46" spans="1:30">
      <c r="A46" s="146">
        <f>DATE(YEAR(C4),MONTH(C4),1)</f>
        <v>42370</v>
      </c>
      <c r="B46" s="111">
        <f>SUMIFS(デモトレ履歴!$P$4:$P$129,デモトレ履歴!$M$4:$M$129,"win",デモトレ履歴!$J$4:$J$129,"&lt;"&amp;A47)</f>
        <v>42181</v>
      </c>
      <c r="C46" s="111">
        <f>SUMIFS(デモトレ履歴!$P$4:$P$129,デモトレ履歴!$M$4:$M$129,"loss",デモトレ履歴!$J$4:$J$129,"&lt;"&amp;A47)</f>
        <v>-100406</v>
      </c>
      <c r="D46" s="111">
        <f t="shared" ref="D46:D63" si="8">SUM(B46:C46)</f>
        <v>-58225</v>
      </c>
      <c r="E46" s="111">
        <f>COUNTIF(デモトレ履歴!$J$4:$J$129,"&lt;"&amp;A47)</f>
        <v>18</v>
      </c>
      <c r="F46" s="111">
        <f>COUNTIFS(デモトレ履歴!$M$4:$M$129,"win",デモトレ履歴!$J$4:$J$129,"&lt;"&amp;$A47)</f>
        <v>2</v>
      </c>
      <c r="G46" s="111">
        <f>COUNTIFS(デモトレ履歴!$M$4:$M$129,"loss",デモトレ履歴!$J$4:$J$129,"&lt;"&amp;$A47)</f>
        <v>11</v>
      </c>
      <c r="H46" s="111">
        <f>COUNTIFS(デモトレ履歴!$M$4:$M$129,"drw",デモトレ履歴!$J$4:$J$129,"&lt;"&amp;$A47)</f>
        <v>5</v>
      </c>
      <c r="I46" s="147">
        <f>IF(E46&lt;&gt;0,F46/E46,"")</f>
        <v>0.1111111111111111</v>
      </c>
      <c r="J46" s="148">
        <f t="shared" ref="J46:J63" si="9">IF(B46&lt;&gt;0,B46/F46,0)</f>
        <v>21090.5</v>
      </c>
      <c r="K46" s="148">
        <f t="shared" ref="K46:K63" si="10">IF(C46&lt;&gt;0,C46/G46,0)</f>
        <v>-9127.818181818182</v>
      </c>
      <c r="L46" s="111">
        <f>IF(AND(J46&lt;&gt;0,K46&lt;&gt;0),J46/K46,0)</f>
        <v>-2.3105740692787284</v>
      </c>
      <c r="M46" s="111">
        <f t="shared" ref="M46:M63" si="11">IF(AND(B46&lt;&gt;0,C46&lt;&gt;0),B46/C46,0)</f>
        <v>-0.42010437623249608</v>
      </c>
      <c r="N46" s="111">
        <f>SUMIFS(デモトレ履歴!$P$4:$P$129,デモトレ履歴!$M$4:$M$129,"drw",デモトレ履歴!$J$4:$J$129,"&lt;"&amp;A47)</f>
        <v>-126</v>
      </c>
      <c r="O46" s="148">
        <f>SUM($C$2,$D46)</f>
        <v>441775</v>
      </c>
    </row>
    <row r="47" spans="1:30">
      <c r="A47" s="146">
        <f>IF(A45&lt;&gt;"",DATE(YEAR(A46),MONTH(A46)+1,1),"")</f>
        <v>42401</v>
      </c>
      <c r="B47" s="111">
        <f>SUMIFS(デモトレ履歴!$P$4:$P$129,デモトレ履歴!$M$4:$M$129,"win",デモトレ履歴!$J$4:$J$129,"&lt;"&amp;A48)-B46</f>
        <v>36974</v>
      </c>
      <c r="C47" s="111">
        <f>SUMIFS(デモトレ履歴!$P$4:$P$129,デモトレ履歴!$M$4:$M$129,"loss",デモトレ履歴!$J$4:$J$129,"&lt;"&amp;A48)-C46</f>
        <v>-93434</v>
      </c>
      <c r="D47" s="111">
        <f t="shared" si="8"/>
        <v>-56460</v>
      </c>
      <c r="E47" s="111">
        <f>IF(A47&lt;&gt;"",COUNTIF(デモトレ履歴!$J$4:$J$129,"&lt;"&amp;IF(A48&lt;&gt;"",A48,DATE(YEAR(A47),MONTH(A47),DAY(EOMONTH(A47,0)))))-SUM($E$46:$E46),0)</f>
        <v>20</v>
      </c>
      <c r="F47" s="111">
        <f>COUNTIFS(デモトレ履歴!$M$4:$M$129,"win",デモトレ履歴!$J$4:$J$129,"&lt;"&amp;$A48)-F46</f>
        <v>5</v>
      </c>
      <c r="G47" s="111">
        <f>COUNTIFS(デモトレ履歴!$M$4:$M$129,"loss",デモトレ履歴!$J$4:$J$129,"&lt;"&amp;$A48)-G46</f>
        <v>13</v>
      </c>
      <c r="H47" s="111">
        <f>COUNTIFS(デモトレ履歴!$M$4:$M$129,"drw",デモトレ履歴!$J$4:$J$129,"&lt;"&amp;$A48)-H46</f>
        <v>2</v>
      </c>
      <c r="I47" s="147">
        <f>IF(E47&lt;&gt;0,F47/E47,0)</f>
        <v>0.25</v>
      </c>
      <c r="J47" s="148">
        <f t="shared" si="9"/>
        <v>7394.8</v>
      </c>
      <c r="K47" s="148">
        <f t="shared" si="10"/>
        <v>-7187.2307692307695</v>
      </c>
      <c r="L47" s="111">
        <f>IF(AND(J47&lt;&gt;0,K47&lt;&gt;0),J47/K47,0)</f>
        <v>-1.0288802791275125</v>
      </c>
      <c r="M47" s="111">
        <f t="shared" si="11"/>
        <v>-0.39572318427981251</v>
      </c>
      <c r="N47" s="111">
        <f>SUMIFS(デモトレ履歴!$P$4:$P$129,デモトレ履歴!$M$4:$M$129,"drw",デモトレ履歴!$J$4:$J$129,"&lt;"&amp;A48)-N46</f>
        <v>-51</v>
      </c>
      <c r="O47" s="148">
        <f t="shared" ref="O47:O63" si="12">SUM(O46,$D47)</f>
        <v>385315</v>
      </c>
    </row>
    <row r="48" spans="1:30">
      <c r="A48" s="146">
        <f t="shared" ref="A48:A63" si="13">IF(A46&lt;&gt;"",DATE(YEAR(A47),MONTH(A47)+1,1),"")</f>
        <v>42430</v>
      </c>
      <c r="B48" s="111">
        <f>IF(E48&gt;0,SUMIFS(デモトレ履歴!$P$4:$P$129,デモトレ履歴!$M$4:$M$129,"win",デモトレ履歴!$J$4:$J$129,"&lt;"&amp;IF(A49&lt;&gt;"",A49,DATE(YEAR(A48),MONTH(A48),DAY(EOMONTH(A48,0)))))-SUM($B$44:$B47),0)</f>
        <v>180719</v>
      </c>
      <c r="C48" s="111">
        <f>IF(E48&gt;0,SUMIFS(デモトレ履歴!$P$4:$P$129,デモトレ履歴!$M$4:$M$129,"loss",デモトレ履歴!$J$4:$J$129,"&lt;"&amp;IF(A49&lt;&gt;"",A49,DATE(YEAR(A48),MONTH(A48),DAY(EOMONTH(A48,0)))))-SUM($C$46:$C47),0)</f>
        <v>-56819</v>
      </c>
      <c r="D48" s="111">
        <f t="shared" si="8"/>
        <v>123900</v>
      </c>
      <c r="E48" s="111">
        <f>IF(A48&lt;&gt;"",COUNTIF(デモトレ履歴!$J$4:$J$129,"&lt;"&amp;IF(A49&lt;&gt;"",A49,DATE(YEAR(A48),MONTH(A48),DAY(EOMONTH(A48,0)))))-SUM($E$46:$E47),0)</f>
        <v>25</v>
      </c>
      <c r="F48" s="111">
        <f>IF(A49&lt;&gt;"",COUNTIFS(デモトレ履歴!$M$4:$M$129,"win",デモトレ履歴!$J$4:$J$129,"&lt;"&amp;IF(A49&lt;&gt;"",A49,DATE(YEAR(A48),MONTH(A48),DAY(EOMONTH(A48,0)))))-SUM($F$46:$F47),0)</f>
        <v>6</v>
      </c>
      <c r="G48" s="111">
        <f>IF(A49&lt;&gt;"",COUNTIFS(デモトレ履歴!$M$4:$M$129,"loss",デモトレ履歴!$J$4:$J$129,"&lt;"&amp;IF(A49&lt;&gt;"",A49,DATE(YEAR(A48),MONTH(A48),DAY(EOMONTH(A48,0)))))-SUM($G$46:$G47),0)</f>
        <v>10</v>
      </c>
      <c r="H48" s="111">
        <f>COUNTIFS(デモトレ履歴!$M$4:$M$129,"drw",デモトレ履歴!$J$4:$J$129,"&lt;"&amp;IF(A49&lt;&gt;"",A49,DATE(YEAR(A48),MONTH(A48),DAY(EOMONTH(A48,0)))))-SUM($H$46:$H47)</f>
        <v>9</v>
      </c>
      <c r="I48" s="147">
        <f t="shared" ref="I48:I63" si="14">IF(E48&lt;&gt;0,F48/E48,0)</f>
        <v>0.24</v>
      </c>
      <c r="J48" s="148">
        <f t="shared" si="9"/>
        <v>30119.833333333332</v>
      </c>
      <c r="K48" s="148">
        <f t="shared" si="10"/>
        <v>-5681.9</v>
      </c>
      <c r="L48" s="111">
        <f t="shared" ref="L48:L63" si="15">IF(AND(J48&lt;&gt;0,K48&lt;&gt;0),J48/K48,0)</f>
        <v>-5.3010143320602854</v>
      </c>
      <c r="M48" s="111">
        <f t="shared" si="11"/>
        <v>-3.1806085992361708</v>
      </c>
      <c r="N48" s="111">
        <f>IF(E48&gt;0,SUMIFS(デモトレ履歴!$P$4:$P$129,デモトレ履歴!$M$4:$M$129,"drw",デモトレ履歴!$J$4:$J$129,"&lt;"&amp;IF(A49&lt;&gt;"",A49,DATE(YEAR(A48),MONTH(A48),DAY(EOMONTH(A48,0)))))-SUM($N$46:$N47),0)</f>
        <v>-1289</v>
      </c>
      <c r="O48" s="148">
        <f t="shared" si="12"/>
        <v>509215</v>
      </c>
    </row>
    <row r="49" spans="1:15">
      <c r="A49" s="146">
        <f t="shared" si="13"/>
        <v>42461</v>
      </c>
      <c r="B49" s="111">
        <f>IF(E49&gt;0,SUMIFS(デモトレ履歴!$P$4:$P$129,デモトレ履歴!$M$4:$M$129,"win",デモトレ履歴!$J$4:$J129,"&lt;"&amp;IF(A50&lt;&gt;"",A50,DATE(YEAR(A49),MONTH(A49),DAY(EOMONTH(A49,0)))))-SUM($B$44:$B48),0)</f>
        <v>81456</v>
      </c>
      <c r="C49" s="111">
        <f>IF(E49&gt;0,SUMIFS(デモトレ履歴!$P$4:$P$129,デモトレ履歴!$M$4:$M$129,"loss",デモトレ履歴!$J$4:$J$129,"&lt;"&amp;IF(A50&lt;&gt;"",A50,DATE(YEAR(A49),MONTH(A49),DAY(EOMONTH(A49,0)))))-SUM($C$46:$C48),0)</f>
        <v>-67806</v>
      </c>
      <c r="D49" s="111">
        <f t="shared" si="8"/>
        <v>13650</v>
      </c>
      <c r="E49" s="111">
        <f>IF(A49&lt;&gt;"",COUNTIF(デモトレ履歴!$J$4:$J$129,"&lt;"&amp;IF(A50&lt;&gt;"",A50,DATE(YEAR(A49),MONTH(A49),DAY(EOMONTH(A49,0)))))-SUM($E$46:$E48),0)</f>
        <v>26</v>
      </c>
      <c r="F49" s="111">
        <f>IF(A50&lt;&gt;"",COUNTIFS(デモトレ履歴!$M$4:$M$129,"win",デモトレ履歴!$J$4:$J$129,"&lt;"&amp;IF(A50&lt;&gt;"",A50,DATE(YEAR(A49),MONTH(A49),DAY(EOMONTH(A49,0)))))-SUM($F$46:$F48),0)</f>
        <v>10</v>
      </c>
      <c r="G49" s="111">
        <f>IF(A50&lt;&gt;"",COUNTIFS(デモトレ履歴!$M$4:$M$129,"loss",デモトレ履歴!$J$4:$J$129,"&lt;"&amp;IF(A50&lt;&gt;"",A50,DATE(YEAR(A49),MONTH(A49),DAY(EOMONTH(A49,0)))))-SUM($G$46:$G48),0)</f>
        <v>7</v>
      </c>
      <c r="H49" s="111">
        <f>COUNTIFS(デモトレ履歴!$M$4:$M$129,"drw",デモトレ履歴!$J$4:$J$129,"&lt;"&amp;IF(A50&lt;&gt;"",A50,DATE(YEAR(A49),MONTH(A49),DAY(EOMONTH(A49,0)))))-SUM($H$46:$H48)</f>
        <v>9</v>
      </c>
      <c r="I49" s="147">
        <f t="shared" si="14"/>
        <v>0.38461538461538464</v>
      </c>
      <c r="J49" s="148">
        <f t="shared" si="9"/>
        <v>8145.6</v>
      </c>
      <c r="K49" s="148">
        <f t="shared" si="10"/>
        <v>-9686.5714285714294</v>
      </c>
      <c r="L49" s="111">
        <f t="shared" si="15"/>
        <v>-0.84091673303247494</v>
      </c>
      <c r="M49" s="111">
        <f t="shared" si="11"/>
        <v>-1.2013096186178214</v>
      </c>
      <c r="N49" s="111">
        <f>IF(E49&gt;0,SUMIFS(デモトレ履歴!$P$4:$P$129,デモトレ履歴!$M$4:$M$129,"drw",デモトレ履歴!$J$4:$J$129,"&lt;"&amp;IF(A50&lt;&gt;"",A50,DATE(YEAR(A49),MONTH(A49),DAY(EOMONTH(A49,0)))))-SUM($C$46:$C48),0)</f>
        <v>247931</v>
      </c>
      <c r="O49" s="148">
        <f t="shared" si="12"/>
        <v>522865</v>
      </c>
    </row>
    <row r="50" spans="1:15">
      <c r="A50" s="146">
        <f t="shared" si="13"/>
        <v>42491</v>
      </c>
      <c r="B50" s="111">
        <f>IF(E50&gt;0,SUMIFS(デモトレ履歴!$P$4:$P$129,デモトレ履歴!$M$4:$M$129,"win",デモトレ履歴!$J$4:$J129,"&lt;"&amp;IF(A51&lt;&gt;"",A51,DATE(YEAR(A50),MONTH(A50),DAY(EOMONTH(A50,0)))))-SUM($B$44:$B49),0)</f>
        <v>0</v>
      </c>
      <c r="C50" s="111">
        <f>IF(E50&gt;0,SUMIFS(デモトレ履歴!$P$4:$P$129,デモトレ履歴!$M$4:$M$129,"loss",デモトレ履歴!$J$4:$J$129,"&lt;"&amp;IF(A51&lt;&gt;"",A51,DATE(YEAR(A50),MONTH(A50),DAY(EOMONTH(A50,0)))))-SUM($C$46:$C49),0)</f>
        <v>0</v>
      </c>
      <c r="D50" s="111">
        <f t="shared" si="8"/>
        <v>0</v>
      </c>
      <c r="E50" s="111">
        <f>IF(A50&lt;&gt;"",COUNTIF(デモトレ履歴!$J$4:$J$129,"&lt;"&amp;IF(A51&lt;&gt;"",A51,DATE(YEAR(A50),MONTH(A50),DAY(EOMONTH(A50,0)))))-SUM($E$46:$E49),0)</f>
        <v>0</v>
      </c>
      <c r="F50" s="111">
        <f>IF(A51&lt;&gt;"",COUNTIFS(デモトレ履歴!$M$4:$M$129,"win",デモトレ履歴!$J$4:$J$129,"&lt;"&amp;IF(A51&lt;&gt;"",A51,DATE(YEAR(A50),MONTH(A50),DAY(EOMONTH(A50,0)))))-SUM($F$46:$F49),0)</f>
        <v>0</v>
      </c>
      <c r="G50" s="111">
        <f>IF(A51&lt;&gt;"",COUNTIFS(デモトレ履歴!$M$4:$M$129,"loss",デモトレ履歴!$J$4:$J$129,"&lt;"&amp;IF(A51&lt;&gt;"",A51,DATE(YEAR(A50),MONTH(A50),DAY(EOMONTH(A50,0)))))-SUM($G$46:$G49),0)</f>
        <v>0</v>
      </c>
      <c r="H50" s="111">
        <f>COUNTIFS(デモトレ履歴!$M$4:$M$129,"drw",デモトレ履歴!$J$4:$J$129,"&lt;"&amp;IF(A51&lt;&gt;"",A51,DATE(YEAR(A50),MONTH(A50),DAY(EOMONTH(A50,0)))))-SUM($H$46:$H49)</f>
        <v>0</v>
      </c>
      <c r="I50" s="147">
        <f t="shared" si="14"/>
        <v>0</v>
      </c>
      <c r="J50" s="148">
        <f t="shared" si="9"/>
        <v>0</v>
      </c>
      <c r="K50" s="148">
        <f t="shared" si="10"/>
        <v>0</v>
      </c>
      <c r="L50" s="111">
        <f t="shared" si="15"/>
        <v>0</v>
      </c>
      <c r="M50" s="111">
        <f t="shared" si="11"/>
        <v>0</v>
      </c>
      <c r="N50" s="111">
        <f>IF(E50&gt;0,SUMIFS(デモトレ履歴!$P$4:$P$129,デモトレ履歴!$M$4:$M$129,"drw",デモトレ履歴!$R$4:$R$129,"&lt;"&amp;IF(A51&lt;&gt;"",A51,DATE(YEAR(A50),MONTH(A50),DAY(EOMONTH(A50,0)))))-SUM($C$46:$C49),0)</f>
        <v>0</v>
      </c>
      <c r="O50" s="148">
        <f t="shared" si="12"/>
        <v>522865</v>
      </c>
    </row>
    <row r="51" spans="1:15">
      <c r="A51" s="146">
        <f t="shared" si="13"/>
        <v>42522</v>
      </c>
      <c r="B51" s="111">
        <f>IF(E51&gt;0,SUMIFS(デモトレ履歴!$P$4:$P$129,デモトレ履歴!$M$4:$M$129,"win",デモトレ履歴!$J$4:$J129,"&lt;"&amp;IF(A52&lt;&gt;"",A52,DATE(YEAR(A51),MONTH(A51),DAY(EOMONTH(A51,0)))))-SUM($B$44:$B50),0)</f>
        <v>0</v>
      </c>
      <c r="C51" s="111">
        <f>IF(E51&gt;0,SUMIFS(デモトレ履歴!$P$4:$P$129,デモトレ履歴!$M$4:$M$129,"loss",デモトレ履歴!$J$4:$J$129,"&lt;"&amp;IF(A52&lt;&gt;"",A52,DATE(YEAR(A51),MONTH(A51),DAY(EOMONTH(A51,0)))))-SUM($C$46:$C50),0)</f>
        <v>0</v>
      </c>
      <c r="D51" s="111">
        <f t="shared" si="8"/>
        <v>0</v>
      </c>
      <c r="E51" s="111">
        <f>IF(A51&lt;&gt;"",COUNTIF(デモトレ履歴!$J$4:$J$129,"&lt;"&amp;IF(A52&lt;&gt;"",A52,DATE(YEAR(A51),MONTH(A51),DAY(EOMONTH(A51,0)))))-SUM($E$46:$E50),0)</f>
        <v>0</v>
      </c>
      <c r="F51" s="111">
        <f>IF(A52&lt;&gt;"",COUNTIFS(デモトレ履歴!$M$4:$M$129,"win",デモトレ履歴!$J$4:$J$129,"&lt;"&amp;IF(A52&lt;&gt;"",A52,DATE(YEAR(A51),MONTH(A51),DAY(EOMONTH(A51,0)))))-SUM($F$46:$F50),0)</f>
        <v>0</v>
      </c>
      <c r="G51" s="111">
        <f>IF(A52&lt;&gt;"",COUNTIFS(デモトレ履歴!$M$4:$M$129,"loss",デモトレ履歴!$J$4:$J$129,"&lt;"&amp;IF(A52&lt;&gt;"",A52,DATE(YEAR(A51),MONTH(A51),DAY(EOMONTH(A51,0)))))-SUM($G$46:$G50),0)</f>
        <v>0</v>
      </c>
      <c r="H51" s="111">
        <f>COUNTIFS(デモトレ履歴!$M$4:$M$129,"drw",デモトレ履歴!$J$4:$J$129,"&lt;"&amp;IF(A52&lt;&gt;"",A52,DATE(YEAR(A51),MONTH(A51),DAY(EOMONTH(A51,0)))))-SUM($H$46:$H50)</f>
        <v>0</v>
      </c>
      <c r="I51" s="147">
        <f t="shared" si="14"/>
        <v>0</v>
      </c>
      <c r="J51" s="148">
        <f t="shared" si="9"/>
        <v>0</v>
      </c>
      <c r="K51" s="148">
        <f t="shared" si="10"/>
        <v>0</v>
      </c>
      <c r="L51" s="111">
        <f t="shared" si="15"/>
        <v>0</v>
      </c>
      <c r="M51" s="111">
        <f t="shared" si="11"/>
        <v>0</v>
      </c>
      <c r="N51" s="111">
        <f>IF(E51&gt;0,SUMIFS(デモトレ履歴!$P$4:$P$129,デモトレ履歴!$M$4:$M$129,"drw",デモトレ履歴!$R$4:$R$129,"&lt;"&amp;IF(A52&lt;&gt;"",A52,DATE(YEAR(A51),MONTH(A51),DAY(EOMONTH(A51,0)))))-SUM($C$46:$C50),0)</f>
        <v>0</v>
      </c>
      <c r="O51" s="148">
        <f t="shared" si="12"/>
        <v>522865</v>
      </c>
    </row>
    <row r="52" spans="1:15">
      <c r="A52" s="146">
        <f t="shared" si="13"/>
        <v>42552</v>
      </c>
      <c r="B52" s="111">
        <f>IF(E52&gt;0,SUMIFS(デモトレ履歴!$P$4:$P$129,デモトレ履歴!$M$4:$M$129,"win",デモトレ履歴!$J$4:$J129,"&lt;"&amp;IF(A53&lt;&gt;"",A53,DATE(YEAR(A52),MONTH(A52),DAY(EOMONTH(A52,0)))))-SUM($B$44:$B51),0)</f>
        <v>0</v>
      </c>
      <c r="C52" s="111">
        <f>IF(E52&gt;0,SUMIFS(デモトレ履歴!$P$4:$P$129,デモトレ履歴!$M$4:$M$129,"loss",デモトレ履歴!$J$4:$J$129,"&lt;"&amp;IF(A53&lt;&gt;"",A53,DATE(YEAR(A52),MONTH(A52),DAY(EOMONTH(A52,0)))))-SUM($C$46:$C51),0)</f>
        <v>0</v>
      </c>
      <c r="D52" s="111">
        <f t="shared" si="8"/>
        <v>0</v>
      </c>
      <c r="E52" s="111">
        <f>IF(A52&lt;&gt;"",COUNTIF(デモトレ履歴!$J$4:$J$129,"&lt;"&amp;IF(A53&lt;&gt;"",A53,DATE(YEAR(A52),MONTH(A52),DAY(EOMONTH(A52,0)))))-SUM($E$46:$E51),0)</f>
        <v>0</v>
      </c>
      <c r="F52" s="111">
        <f>IF(A53&lt;&gt;"",COUNTIFS(デモトレ履歴!$M$4:$M$129,"win",デモトレ履歴!$J$4:$J$129,"&lt;"&amp;IF(A53&lt;&gt;"",A53,DATE(YEAR(A52),MONTH(A52),DAY(EOMONTH(A52,0)))))-SUM($F$46:$F51),0)</f>
        <v>0</v>
      </c>
      <c r="G52" s="111">
        <f>IF(A53&lt;&gt;"",COUNTIFS(デモトレ履歴!$M$4:$M$129,"loss",デモトレ履歴!$J$4:$J$129,"&lt;"&amp;IF(A53&lt;&gt;"",A53,DATE(YEAR(A52),MONTH(A52),DAY(EOMONTH(A52,0)))))-SUM($G$46:$G51),0)</f>
        <v>0</v>
      </c>
      <c r="H52" s="111">
        <f>COUNTIFS(デモトレ履歴!$M$4:$M$129,"drw",デモトレ履歴!$J$4:$J$129,"&lt;"&amp;IF(A53&lt;&gt;"",A53,DATE(YEAR(A52),MONTH(A52),DAY(EOMONTH(A52,0)))))-SUM($H$46:$H51)</f>
        <v>0</v>
      </c>
      <c r="I52" s="147">
        <f t="shared" si="14"/>
        <v>0</v>
      </c>
      <c r="J52" s="148">
        <f t="shared" si="9"/>
        <v>0</v>
      </c>
      <c r="K52" s="148">
        <f t="shared" si="10"/>
        <v>0</v>
      </c>
      <c r="L52" s="111">
        <f t="shared" si="15"/>
        <v>0</v>
      </c>
      <c r="M52" s="111">
        <f t="shared" si="11"/>
        <v>0</v>
      </c>
      <c r="N52" s="111">
        <f>IF(E52&gt;0,SUMIFS(デモトレ履歴!$P$4:$P$129,デモトレ履歴!$M$4:$M$129,"drw",デモトレ履歴!$R$4:$R$129,"&lt;"&amp;IF(A53&lt;&gt;"",A53,DATE(YEAR(A52),MONTH(A52),DAY(EOMONTH(A52,0)))))-SUM($C$46:$C51),0)</f>
        <v>0</v>
      </c>
      <c r="O52" s="148">
        <f t="shared" si="12"/>
        <v>522865</v>
      </c>
    </row>
    <row r="53" spans="1:15">
      <c r="A53" s="146">
        <f t="shared" si="13"/>
        <v>42583</v>
      </c>
      <c r="B53" s="111">
        <f>IF(E53&gt;0,SUMIFS(デモトレ履歴!$P$4:$P$129,デモトレ履歴!$M$4:$M$129,"win",デモトレ履歴!$J$4:$J129,"&lt;"&amp;IF(A54&lt;&gt;"",A54,DATE(YEAR(A53),MONTH(A53),DAY(EOMONTH(A53,0)))))-SUM($B$44:$B52),0)</f>
        <v>0</v>
      </c>
      <c r="C53" s="111">
        <f>IF(E53&gt;0,SUMIFS(デモトレ履歴!$P$4:$P$129,デモトレ履歴!$M$4:$M$129,"loss",デモトレ履歴!$J$4:$J$129,"&lt;"&amp;IF(A54&lt;&gt;"",A54,DATE(YEAR(A53),MONTH(A53),DAY(EOMONTH(A53,0)))))-SUM($C$46:$C52),0)</f>
        <v>0</v>
      </c>
      <c r="D53" s="111">
        <f t="shared" si="8"/>
        <v>0</v>
      </c>
      <c r="E53" s="111">
        <f>IF(A53&lt;&gt;"",COUNTIF(デモトレ履歴!$J$4:$J$129,"&lt;"&amp;IF(A54&lt;&gt;"",A54,DATE(YEAR(A53),MONTH(A53),DAY(EOMONTH(A53,0)))))-SUM($E$46:$E52),0)</f>
        <v>0</v>
      </c>
      <c r="F53" s="111">
        <f>IF(A54&lt;&gt;"",COUNTIFS(デモトレ履歴!$M$4:$M$129,"win",デモトレ履歴!$J$4:$J$129,"&lt;"&amp;IF(A54&lt;&gt;"",A54,DATE(YEAR(A53),MONTH(A53),DAY(EOMONTH(A53,0)))))-SUM($F$46:$F52),0)</f>
        <v>0</v>
      </c>
      <c r="G53" s="111">
        <f>IF(A54&lt;&gt;"",COUNTIFS(デモトレ履歴!$M$4:$M$129,"loss",デモトレ履歴!$J$4:$J$129,"&lt;"&amp;IF(A54&lt;&gt;"",A54,DATE(YEAR(A53),MONTH(A53),DAY(EOMONTH(A53,0)))))-SUM($G$46:$G52),0)</f>
        <v>0</v>
      </c>
      <c r="H53" s="111">
        <f>COUNTIFS(デモトレ履歴!$M$4:$M$129,"drw",デモトレ履歴!$J$4:$J$129,"&lt;"&amp;IF(A54&lt;&gt;"",A54,DATE(YEAR(A53),MONTH(A53),DAY(EOMONTH(A53,0)))))-SUM($H$46:$H52)</f>
        <v>0</v>
      </c>
      <c r="I53" s="147">
        <f t="shared" si="14"/>
        <v>0</v>
      </c>
      <c r="J53" s="148">
        <f t="shared" si="9"/>
        <v>0</v>
      </c>
      <c r="K53" s="148">
        <f t="shared" si="10"/>
        <v>0</v>
      </c>
      <c r="L53" s="111">
        <f t="shared" si="15"/>
        <v>0</v>
      </c>
      <c r="M53" s="111">
        <f t="shared" si="11"/>
        <v>0</v>
      </c>
      <c r="N53" s="111">
        <f>IF(E53&gt;0,SUMIFS(デモトレ履歴!$P$4:$P$129,デモトレ履歴!$M$4:$M$129,"drw",デモトレ履歴!$R$4:$R$129,"&lt;"&amp;IF(A54&lt;&gt;"",A54,DATE(YEAR(A53),MONTH(A53),DAY(EOMONTH(A53,0)))))-SUM($C$46:$C52),0)</f>
        <v>0</v>
      </c>
      <c r="O53" s="148">
        <f t="shared" si="12"/>
        <v>522865</v>
      </c>
    </row>
    <row r="54" spans="1:15">
      <c r="A54" s="146">
        <f t="shared" si="13"/>
        <v>42614</v>
      </c>
      <c r="B54" s="111">
        <f>IF(E54&gt;0,SUMIFS(デモトレ履歴!$P$4:$P$129,デモトレ履歴!$M$4:$M$129,"win",デモトレ履歴!$J$4:$J129,"&lt;"&amp;IF(A55&lt;&gt;"",A55,DATE(YEAR(A54),MONTH(A54),DAY(EOMONTH(A54,0)))))-SUM($B$44:$B53),0)</f>
        <v>0</v>
      </c>
      <c r="C54" s="111">
        <f>IF(E54&gt;0,SUMIFS(デモトレ履歴!$P$4:$P$129,デモトレ履歴!$M$4:$M$129,"loss",デモトレ履歴!$J$4:$J$129,"&lt;"&amp;IF(A55&lt;&gt;"",A55,DATE(YEAR(A54),MONTH(A54),DAY(EOMONTH(A54,0)))))-SUM($C$46:$C53),0)</f>
        <v>0</v>
      </c>
      <c r="D54" s="111">
        <f t="shared" si="8"/>
        <v>0</v>
      </c>
      <c r="E54" s="111">
        <f>IF(A54&lt;&gt;"",COUNTIF(デモトレ履歴!$J$4:$J$129,"&lt;"&amp;IF(A55&lt;&gt;"",A55,DATE(YEAR(A54),MONTH(A54),DAY(EOMONTH(A54,0)))))-SUM($E$46:$E53),0)</f>
        <v>0</v>
      </c>
      <c r="F54" s="111">
        <f>IF(A55&lt;&gt;"",COUNTIFS(デモトレ履歴!$M$4:$M$129,"win",デモトレ履歴!$J$4:$J$129,"&lt;"&amp;IF(A55&lt;&gt;"",A55,DATE(YEAR(A54),MONTH(A54),DAY(EOMONTH(A54,0)))))-SUM($F$46:$F53),0)</f>
        <v>0</v>
      </c>
      <c r="G54" s="111">
        <f>IF(A55&lt;&gt;"",COUNTIFS(デモトレ履歴!$M$4:$M$129,"loss",デモトレ履歴!$J$4:$J$129,"&lt;"&amp;IF(A55&lt;&gt;"",A55,DATE(YEAR(A54),MONTH(A54),DAY(EOMONTH(A54,0)))))-SUM($G$46:$G53),0)</f>
        <v>0</v>
      </c>
      <c r="H54" s="111">
        <f>COUNTIFS(デモトレ履歴!$M$4:$M$129,"drw",デモトレ履歴!$J$4:$J$129,"&lt;"&amp;IF(A55&lt;&gt;"",A55,DATE(YEAR(A54),MONTH(A54),DAY(EOMONTH(A54,0)))))-SUM($H$46:$H53)</f>
        <v>0</v>
      </c>
      <c r="I54" s="147">
        <f t="shared" si="14"/>
        <v>0</v>
      </c>
      <c r="J54" s="148">
        <f t="shared" si="9"/>
        <v>0</v>
      </c>
      <c r="K54" s="148">
        <f t="shared" si="10"/>
        <v>0</v>
      </c>
      <c r="L54" s="111">
        <f t="shared" si="15"/>
        <v>0</v>
      </c>
      <c r="M54" s="111">
        <f t="shared" si="11"/>
        <v>0</v>
      </c>
      <c r="N54" s="111">
        <f>IF(E54&gt;0,SUMIFS(デモトレ履歴!$P$4:$P$129,デモトレ履歴!$M$4:$M$129,"drw",デモトレ履歴!$R$4:$R$129,"&lt;"&amp;IF(A55&lt;&gt;"",A55,DATE(YEAR(A54),MONTH(A54),DAY(EOMONTH(A54,0)))))-SUM($C$46:$C53),0)</f>
        <v>0</v>
      </c>
      <c r="O54" s="148">
        <f t="shared" si="12"/>
        <v>522865</v>
      </c>
    </row>
    <row r="55" spans="1:15">
      <c r="A55" s="146">
        <f t="shared" si="13"/>
        <v>42644</v>
      </c>
      <c r="B55" s="111">
        <f>IF(E55&gt;0,SUMIFS(デモトレ履歴!$P$4:$P$129,デモトレ履歴!$M$4:$M$129,"win",デモトレ履歴!$J$4:$J129,"&lt;"&amp;IF(A56&lt;&gt;"",A56,DATE(YEAR(A55),MONTH(A55),DAY(EOMONTH(A55,0)))))-SUM($B$44:$B54),0)</f>
        <v>0</v>
      </c>
      <c r="C55" s="111">
        <f>IF(E55&gt;0,SUMIFS(デモトレ履歴!$P$4:$P$129,デモトレ履歴!$M$4:$M$129,"loss",デモトレ履歴!$J$4:$J$129,"&lt;"&amp;IF(A56&lt;&gt;"",A56,DATE(YEAR(A55),MONTH(A55),DAY(EOMONTH(A55,0)))))-SUM($C$46:$C54),0)</f>
        <v>0</v>
      </c>
      <c r="D55" s="111">
        <f t="shared" si="8"/>
        <v>0</v>
      </c>
      <c r="E55" s="111">
        <f>IF(A55&lt;&gt;"",COUNTIF(デモトレ履歴!$J$4:$J$129,"&lt;"&amp;IF(A56&lt;&gt;"",A56,DATE(YEAR(A55),MONTH(A55),DAY(EOMONTH(A55,0)))))-SUM($E$46:$E54),0)</f>
        <v>0</v>
      </c>
      <c r="F55" s="111">
        <f>IF(A56&lt;&gt;"",COUNTIFS(デモトレ履歴!$M$4:$M$129,"win",デモトレ履歴!$J$4:$J$129,"&lt;"&amp;IF(A56&lt;&gt;"",A56,DATE(YEAR(A55),MONTH(A55),DAY(EOMONTH(A55,0)))))-SUM($F$46:$F54),0)</f>
        <v>0</v>
      </c>
      <c r="G55" s="111">
        <f>IF(A56&lt;&gt;"",COUNTIFS(デモトレ履歴!$M$4:$M$129,"loss",デモトレ履歴!$J$4:$J$129,"&lt;"&amp;IF(A56&lt;&gt;"",A56,DATE(YEAR(A55),MONTH(A55),DAY(EOMONTH(A55,0)))))-SUM($G$46:$G54),0)</f>
        <v>0</v>
      </c>
      <c r="H55" s="111">
        <f>COUNTIFS(デモトレ履歴!$M$4:$M$129,"drw",デモトレ履歴!$J$4:$J$129,"&lt;"&amp;IF(A56&lt;&gt;"",A56,DATE(YEAR(A55),MONTH(A55),DAY(EOMONTH(A55,0)))))-SUM($H$46:$H54)</f>
        <v>0</v>
      </c>
      <c r="I55" s="147">
        <f t="shared" si="14"/>
        <v>0</v>
      </c>
      <c r="J55" s="148">
        <f t="shared" si="9"/>
        <v>0</v>
      </c>
      <c r="K55" s="148">
        <f t="shared" si="10"/>
        <v>0</v>
      </c>
      <c r="L55" s="111">
        <f t="shared" si="15"/>
        <v>0</v>
      </c>
      <c r="M55" s="111">
        <f t="shared" si="11"/>
        <v>0</v>
      </c>
      <c r="N55" s="111">
        <f>IF(E55&gt;0,SUMIFS(デモトレ履歴!$P$4:$P$129,デモトレ履歴!$M$4:$M$129,"drw",デモトレ履歴!$R$4:$R$129,"&lt;"&amp;IF(A56&lt;&gt;"",A56,DATE(YEAR(A55),MONTH(A55),DAY(EOMONTH(A55,0)))))-SUM($C$46:$C54),0)</f>
        <v>0</v>
      </c>
      <c r="O55" s="148">
        <f t="shared" si="12"/>
        <v>522865</v>
      </c>
    </row>
    <row r="56" spans="1:15">
      <c r="A56" s="146">
        <f t="shared" si="13"/>
        <v>42675</v>
      </c>
      <c r="B56" s="111">
        <f>IF(E56&gt;0,SUMIFS(デモトレ履歴!$P$4:$P$129,デモトレ履歴!$M$4:$M$129,"win",デモトレ履歴!$J$4:$J129,"&lt;"&amp;IF(A57&lt;&gt;"",A57,DATE(YEAR(A56),MONTH(A56),DAY(EOMONTH(A56,0)))))-SUM($B$44:$B55),0)</f>
        <v>0</v>
      </c>
      <c r="C56" s="111">
        <f>IF(E56&gt;0,SUMIFS(デモトレ履歴!$P$4:$P$129,デモトレ履歴!$M$4:$M$129,"loss",デモトレ履歴!$J$4:$J$129,"&lt;"&amp;IF(A57&lt;&gt;"",A57,DATE(YEAR(A56),MONTH(A56),DAY(EOMONTH(A56,0)))))-SUM($C$46:$C55),0)</f>
        <v>0</v>
      </c>
      <c r="D56" s="111">
        <f t="shared" si="8"/>
        <v>0</v>
      </c>
      <c r="E56" s="111">
        <f>IF(A56&lt;&gt;"",COUNTIF(デモトレ履歴!$J$4:$J$129,"&lt;"&amp;IF(A57&lt;&gt;"",A57,DATE(YEAR(A56),MONTH(A56),DAY(EOMONTH(A56,0)))))-SUM($E$46:$E55),0)</f>
        <v>0</v>
      </c>
      <c r="F56" s="111">
        <f>IF(A57&lt;&gt;"",COUNTIFS(デモトレ履歴!$M$4:$M$129,"win",デモトレ履歴!$J$4:$J$129,"&lt;"&amp;IF(A57&lt;&gt;"",A57,DATE(YEAR(A56),MONTH(A56),DAY(EOMONTH(A56,0)))))-SUM($F$46:$F55),0)</f>
        <v>0</v>
      </c>
      <c r="G56" s="111">
        <f>IF(A57&lt;&gt;"",COUNTIFS(デモトレ履歴!$M$4:$M$129,"loss",デモトレ履歴!$J$4:$J$129,"&lt;"&amp;IF(A57&lt;&gt;"",A57,DATE(YEAR(A56),MONTH(A56),DAY(EOMONTH(A56,0)))))-SUM($G$46:$G55),0)</f>
        <v>0</v>
      </c>
      <c r="H56" s="111">
        <f>COUNTIFS(デモトレ履歴!$M$4:$M$129,"drw",デモトレ履歴!$J$4:$J$129,"&lt;"&amp;IF(A57&lt;&gt;"",A57,DATE(YEAR(A56),MONTH(A56),DAY(EOMONTH(A56,0)))))-SUM($H$46:$H55)</f>
        <v>0</v>
      </c>
      <c r="I56" s="147">
        <f t="shared" si="14"/>
        <v>0</v>
      </c>
      <c r="J56" s="148">
        <f t="shared" si="9"/>
        <v>0</v>
      </c>
      <c r="K56" s="148">
        <f t="shared" si="10"/>
        <v>0</v>
      </c>
      <c r="L56" s="111">
        <f t="shared" si="15"/>
        <v>0</v>
      </c>
      <c r="M56" s="111">
        <f t="shared" si="11"/>
        <v>0</v>
      </c>
      <c r="N56" s="111">
        <f>IF(E56&gt;0,SUMIFS(デモトレ履歴!$P$4:$P$129,デモトレ履歴!$M$4:$M$129,"drw",デモトレ履歴!$R$4:$R$129,"&lt;"&amp;IF(A57&lt;&gt;"",A57,DATE(YEAR(A56),MONTH(A56),DAY(EOMONTH(A56,0)))))-SUM($C$46:$C55),0)</f>
        <v>0</v>
      </c>
      <c r="O56" s="148">
        <f t="shared" si="12"/>
        <v>522865</v>
      </c>
    </row>
    <row r="57" spans="1:15">
      <c r="A57" s="146">
        <f t="shared" si="13"/>
        <v>42705</v>
      </c>
      <c r="B57" s="111">
        <f>IF(E57&gt;0,SUMIFS(デモトレ履歴!$P$4:$P$129,デモトレ履歴!$M$4:$M$129,"win",デモトレ履歴!$J$4:$J$129,"&lt;"&amp;IF(A58&lt;&gt;"",A58,DATE(YEAR(A57),MONTH(A57),DAY(EOMONTH(A57,0)))))-SUM($B$44:$B56),0)</f>
        <v>0</v>
      </c>
      <c r="C57" s="111">
        <f>IF(E57&gt;0,SUMIFS(デモトレ履歴!$P$4:$P$129,デモトレ履歴!$M$4:$M$129,"loss",デモトレ履歴!$J$4:$J$129,"&lt;"&amp;IF(A58&lt;&gt;"",A58,DATE(YEAR(A57),MONTH(A57),DAY(EOMONTH(A57,0)))))-SUM($C$46:$C56),0)</f>
        <v>0</v>
      </c>
      <c r="D57" s="111">
        <f t="shared" si="8"/>
        <v>0</v>
      </c>
      <c r="E57" s="111">
        <f>IF(A57&lt;&gt;"",COUNTIF(デモトレ履歴!$J$4:$J$129,"&lt;"&amp;IF(A58&lt;&gt;"",A58,DATE(YEAR(A57),MONTH(A57),DAY(EOMONTH(A57,0)))))-SUM($E$46:$E56),0)</f>
        <v>0</v>
      </c>
      <c r="F57" s="111">
        <f>IF(A58&lt;&gt;"",COUNTIFS(デモトレ履歴!$M$4:$M$129,"win",デモトレ履歴!$J$4:$J$129,"&lt;"&amp;IF(A58&lt;&gt;"",A58,DATE(YEAR(A57),MONTH(A57),DAY(EOMONTH(A57,0)))))-SUM($F$46:$F56),0)</f>
        <v>0</v>
      </c>
      <c r="G57" s="111">
        <f>IF(A58&lt;&gt;"",COUNTIFS(デモトレ履歴!$M$4:$M$129,"loss",デモトレ履歴!$J$4:$J$129,"&lt;"&amp;IF(A58&lt;&gt;"",A58,DATE(YEAR(A57),MONTH(A57),DAY(EOMONTH(A57,0)))))-SUM($G$46:$G56),0)</f>
        <v>0</v>
      </c>
      <c r="H57" s="111">
        <f>COUNTIFS(デモトレ履歴!$M$4:$M$129,"drw",デモトレ履歴!$J$4:$J$129,"&lt;"&amp;IF(A58&lt;&gt;"",A58,DATE(YEAR(A57),MONTH(A57),DAY(EOMONTH(A57,0)))))-SUM($H$46:$H56)</f>
        <v>0</v>
      </c>
      <c r="I57" s="147">
        <f t="shared" si="14"/>
        <v>0</v>
      </c>
      <c r="J57" s="148">
        <f t="shared" si="9"/>
        <v>0</v>
      </c>
      <c r="K57" s="148">
        <f t="shared" si="10"/>
        <v>0</v>
      </c>
      <c r="L57" s="111">
        <f t="shared" si="15"/>
        <v>0</v>
      </c>
      <c r="M57" s="111">
        <f t="shared" si="11"/>
        <v>0</v>
      </c>
      <c r="N57" s="111">
        <f>IF(E57&gt;0,SUMIFS(デモトレ履歴!$P$4:$P$129,デモトレ履歴!$M$4:$M$129,"drw",デモトレ履歴!$R$4:$R$129,"&lt;"&amp;IF(A58&lt;&gt;"",A58,DATE(YEAR(A57),MONTH(A57),DAY(EOMONTH(A57,0)))))-SUM($C$46:$C56),0)</f>
        <v>0</v>
      </c>
      <c r="O57" s="148">
        <f t="shared" si="12"/>
        <v>522865</v>
      </c>
    </row>
    <row r="58" spans="1:15">
      <c r="A58" s="146">
        <f t="shared" si="13"/>
        <v>42736</v>
      </c>
      <c r="B58" s="111">
        <f>IF(E58&gt;0,SUMIFS(デモトレ履歴!$P$4:$P$129,デモトレ履歴!$M$4:$M$129,"win",デモトレ履歴!$J$4:$J129,"&lt;"&amp;IF(A59&lt;&gt;"",A59,DATE(YEAR(A58),MONTH(A58),DAY(EOMONTH(A58,0)))))-SUM($B$44:$B57),0)</f>
        <v>0</v>
      </c>
      <c r="C58" s="111">
        <f>IF(E58&gt;0,SUMIFS(デモトレ履歴!$P$4:$P$129,デモトレ履歴!$M$4:$M$129,"loss",デモトレ履歴!$J$4:$J$129,"&lt;"&amp;IF(A59&lt;&gt;"",A59,DATE(YEAR(A58),MONTH(A58),DAY(EOMONTH(A58,0)))))-SUM($C$46:$C57),0)</f>
        <v>0</v>
      </c>
      <c r="D58" s="111">
        <f t="shared" si="8"/>
        <v>0</v>
      </c>
      <c r="E58" s="111">
        <f>IF(A58&lt;&gt;"",COUNTIF(デモトレ履歴!$J$4:$J$129,"&lt;"&amp;IF(A59&lt;&gt;"",A59,DATE(YEAR(A58),MONTH(A58),DAY(EOMONTH(A58,0)))))-SUM($E$46:$E57),0)</f>
        <v>0</v>
      </c>
      <c r="F58" s="111">
        <f>IF(A59&lt;&gt;"",COUNTIFS(デモトレ履歴!$M$4:$M$129,"win",デモトレ履歴!$J$4:$J$129,"&lt;"&amp;IF(A59&lt;&gt;"",A59,DATE(YEAR(A58),MONTH(A58),DAY(EOMONTH(A58,0)))))-SUM($F$46:$F57),0)</f>
        <v>0</v>
      </c>
      <c r="G58" s="111">
        <f>IF(A59&lt;&gt;"",COUNTIFS(デモトレ履歴!$M$4:$M$129,"loss",デモトレ履歴!$J$4:$J$129,"&lt;"&amp;IF(A59&lt;&gt;"",A59,DATE(YEAR(A58),MONTH(A58),DAY(EOMONTH(A58,0)))))-SUM($G$46:$G57),0)</f>
        <v>0</v>
      </c>
      <c r="H58" s="111">
        <f>COUNTIFS(デモトレ履歴!$M$4:$M$129,"drw",デモトレ履歴!$J$4:$J$129,"&lt;"&amp;IF(A59&lt;&gt;"",A59,DATE(YEAR(A58),MONTH(A58),DAY(EOMONTH(A58,0)))))-SUM($H$46:$H57)</f>
        <v>0</v>
      </c>
      <c r="I58" s="147">
        <f t="shared" si="14"/>
        <v>0</v>
      </c>
      <c r="J58" s="148">
        <f t="shared" si="9"/>
        <v>0</v>
      </c>
      <c r="K58" s="148">
        <f t="shared" si="10"/>
        <v>0</v>
      </c>
      <c r="L58" s="111">
        <f t="shared" si="15"/>
        <v>0</v>
      </c>
      <c r="M58" s="111">
        <f t="shared" si="11"/>
        <v>0</v>
      </c>
      <c r="N58" s="111">
        <f>IF(E58&gt;0,SUMIFS(デモトレ履歴!$P$4:$P$129,デモトレ履歴!$M$4:$M$129,"drw",デモトレ履歴!$R$4:$R$129,"&lt;"&amp;IF(A59&lt;&gt;"",A59,DATE(YEAR(A58),MONTH(A58),DAY(EOMONTH(A58,0)))))-SUM($C$46:$C57),0)</f>
        <v>0</v>
      </c>
      <c r="O58" s="148">
        <f t="shared" si="12"/>
        <v>522865</v>
      </c>
    </row>
    <row r="59" spans="1:15">
      <c r="A59" s="146">
        <f t="shared" si="13"/>
        <v>42767</v>
      </c>
      <c r="B59" s="111">
        <f>IF(E59&gt;0,SUMIFS(デモトレ履歴!$P$4:$P$129,デモトレ履歴!$M$4:$M$129,"win",デモトレ履歴!$J$4:$J129,"&lt;"&amp;IF(A60&lt;&gt;"",A60,DATE(YEAR(A59),MONTH(A59),DAY(EOMONTH(A59,0)))))-SUM($B$44:$B58),0)</f>
        <v>0</v>
      </c>
      <c r="C59" s="111">
        <f>IF(E59&gt;0,SUMIFS(デモトレ履歴!$P$4:$P$129,デモトレ履歴!$M$4:$M$129,"loss",デモトレ履歴!$J$4:$J$129,"&lt;"&amp;IF(A60&lt;&gt;"",A60,DATE(YEAR(A59),MONTH(A59),DAY(EOMONTH(A59,0)))))-SUM($C$46:$C58),0)</f>
        <v>0</v>
      </c>
      <c r="D59" s="111">
        <f t="shared" si="8"/>
        <v>0</v>
      </c>
      <c r="E59" s="111">
        <f>IF(A59&lt;&gt;"",COUNTIF(デモトレ履歴!$J$4:$J$129,"&lt;"&amp;IF(A60&lt;&gt;"",A60,DATE(YEAR(A59),MONTH(A59),DAY(EOMONTH(A59,0)))))-SUM($E$46:$E58),0)</f>
        <v>0</v>
      </c>
      <c r="F59" s="111">
        <f>IF(A60&lt;&gt;"",COUNTIFS(デモトレ履歴!$M$4:$M$129,"win",デモトレ履歴!$J$4:$J$129,"&lt;"&amp;IF(A60&lt;&gt;"",A60,DATE(YEAR(A59),MONTH(A59),DAY(EOMONTH(A59,0)))))-SUM($F$46:$F58),0)</f>
        <v>0</v>
      </c>
      <c r="G59" s="111">
        <f>IF(A60&lt;&gt;"",COUNTIFS(デモトレ履歴!$M$4:$M$129,"loss",デモトレ履歴!$J$4:$J$129,"&lt;"&amp;IF(A60&lt;&gt;"",A60,DATE(YEAR(A59),MONTH(A59),DAY(EOMONTH(A59,0)))))-SUM($G$46:$G58),0)</f>
        <v>0</v>
      </c>
      <c r="H59" s="111">
        <f>COUNTIFS(デモトレ履歴!$M$4:$M$129,"drw",デモトレ履歴!$J$4:$J$129,"&lt;"&amp;IF(A60&lt;&gt;"",A60,DATE(YEAR(A59),MONTH(A59),DAY(EOMONTH(A59,0)))))-SUM($H$46:$H58)</f>
        <v>0</v>
      </c>
      <c r="I59" s="147">
        <f t="shared" si="14"/>
        <v>0</v>
      </c>
      <c r="J59" s="148">
        <f t="shared" si="9"/>
        <v>0</v>
      </c>
      <c r="K59" s="148">
        <f t="shared" si="10"/>
        <v>0</v>
      </c>
      <c r="L59" s="111">
        <f t="shared" si="15"/>
        <v>0</v>
      </c>
      <c r="M59" s="111">
        <f t="shared" si="11"/>
        <v>0</v>
      </c>
      <c r="N59" s="111">
        <f>IF(E59&gt;0,SUMIFS(デモトレ履歴!$P$4:$P$129,デモトレ履歴!$M$4:$M$129,"drw",デモトレ履歴!$R$4:$R$129,"&lt;"&amp;IF(A60&lt;&gt;"",A60,DATE(YEAR(A59),MONTH(A59),DAY(EOMONTH(A59,0)))))-SUM($C$46:$C58),0)</f>
        <v>0</v>
      </c>
      <c r="O59" s="148">
        <f t="shared" si="12"/>
        <v>522865</v>
      </c>
    </row>
    <row r="60" spans="1:15">
      <c r="A60" s="146">
        <f t="shared" si="13"/>
        <v>42795</v>
      </c>
      <c r="B60" s="111">
        <f>IF(E60&gt;0,SUMIFS(デモトレ履歴!$P$4:$P$129,デモトレ履歴!$M$4:$M$129,"win",デモトレ履歴!$J$4:$J129,"&lt;"&amp;IF(A61&lt;&gt;"",A61,DATE(YEAR(A60),MONTH(A60),DAY(EOMONTH(A60,0)))))-SUM($B$44:$B59),0)</f>
        <v>0</v>
      </c>
      <c r="C60" s="111">
        <f>IF(E60&gt;0,SUMIFS(デモトレ履歴!$P$4:$P$129,デモトレ履歴!$M$4:$M$129,"loss",デモトレ履歴!$J$4:$J$129,"&lt;"&amp;IF(A61&lt;&gt;"",A61,DATE(YEAR(A60),MONTH(A60),DAY(EOMONTH(A60,0)))))-SUM($C$46:$C59),0)</f>
        <v>0</v>
      </c>
      <c r="D60" s="111">
        <f t="shared" si="8"/>
        <v>0</v>
      </c>
      <c r="E60" s="111">
        <f>IF(A60&lt;&gt;"",COUNTIF(デモトレ履歴!$J$4:$J$129,"&lt;"&amp;IF(A61&lt;&gt;"",A61,DATE(YEAR(A60),MONTH(A60),DAY(EOMONTH(A60,0)))))-SUM($E$46:$E59),0)</f>
        <v>0</v>
      </c>
      <c r="F60" s="111">
        <f>IF(A61&lt;&gt;"",COUNTIFS(デモトレ履歴!$M$4:$M$129,"win",デモトレ履歴!$J$4:$J$129,"&lt;"&amp;IF(A61&lt;&gt;"",A61,DATE(YEAR(A60),MONTH(A60),DAY(EOMONTH(A60,0)))))-SUM($F$46:$F59),0)</f>
        <v>0</v>
      </c>
      <c r="G60" s="111">
        <f>IF(A61&lt;&gt;"",COUNTIFS(デモトレ履歴!$M$4:$M$129,"loss",デモトレ履歴!$J$4:$J$129,"&lt;"&amp;IF(A61&lt;&gt;"",A61,DATE(YEAR(A60),MONTH(A60),DAY(EOMONTH(A60,0)))))-SUM($G$46:$G59),0)</f>
        <v>0</v>
      </c>
      <c r="H60" s="111">
        <f>COUNTIFS(デモトレ履歴!$M$4:$M$129,"drw",デモトレ履歴!$J$4:$J$129,"&lt;"&amp;IF(A61&lt;&gt;"",A61,DATE(YEAR(A60),MONTH(A60),DAY(EOMONTH(A60,0)))))-SUM($H$46:$H59)</f>
        <v>0</v>
      </c>
      <c r="I60" s="147">
        <f t="shared" si="14"/>
        <v>0</v>
      </c>
      <c r="J60" s="148">
        <f t="shared" si="9"/>
        <v>0</v>
      </c>
      <c r="K60" s="148">
        <f t="shared" si="10"/>
        <v>0</v>
      </c>
      <c r="L60" s="111">
        <f t="shared" si="15"/>
        <v>0</v>
      </c>
      <c r="M60" s="111">
        <f t="shared" si="11"/>
        <v>0</v>
      </c>
      <c r="N60" s="111">
        <f>IF(E60&gt;0,SUMIFS(デモトレ履歴!$P$4:$P$129,デモトレ履歴!$M$4:$M$129,"drw",デモトレ履歴!$R$4:$R$129,"&lt;"&amp;IF(A61&lt;&gt;"",A61,DATE(YEAR(A60),MONTH(A60),DAY(EOMONTH(A60,0)))))-SUM($C$46:$C59),0)</f>
        <v>0</v>
      </c>
      <c r="O60" s="148">
        <f t="shared" si="12"/>
        <v>522865</v>
      </c>
    </row>
    <row r="61" spans="1:15">
      <c r="A61" s="146">
        <f t="shared" si="13"/>
        <v>42826</v>
      </c>
      <c r="B61" s="111">
        <f>IF(E61&gt;0,SUMIFS(デモトレ履歴!$P$4:$P$129,デモトレ履歴!$M$4:$M$129,"win",デモトレ履歴!$J$4:$J129,"&lt;"&amp;IF(A62&lt;&gt;"",A62,DATE(YEAR(A61),MONTH(A61),DAY(EOMONTH(A61,0)))))-SUM($B$44:$B60),0)</f>
        <v>0</v>
      </c>
      <c r="C61" s="111">
        <f>IF(E61&gt;0,SUMIFS(デモトレ履歴!$P$4:$P$129,デモトレ履歴!$M$4:$M$129,"loss",デモトレ履歴!$J$4:$J$129,"&lt;"&amp;IF(A62&lt;&gt;"",A62,DATE(YEAR(A61),MONTH(A61),DAY(EOMONTH(A61,0)))))-SUM($C$46:$C60),0)</f>
        <v>0</v>
      </c>
      <c r="D61" s="111">
        <f t="shared" si="8"/>
        <v>0</v>
      </c>
      <c r="E61" s="111">
        <f>IF(A61&lt;&gt;"",COUNTIF(デモトレ履歴!$J$4:$J$129,"&lt;"&amp;IF(A62&lt;&gt;"",A62,DATE(YEAR(A61),MONTH(A61),DAY(EOMONTH(A61,0)))))-SUM($E$46:$E60),0)</f>
        <v>0</v>
      </c>
      <c r="F61" s="111">
        <f>IF(A62&lt;&gt;"",COUNTIFS(デモトレ履歴!$M$4:$M$129,"win",デモトレ履歴!$J$4:$J$129,"&lt;"&amp;IF(A62&lt;&gt;"",A62,DATE(YEAR(A61),MONTH(A61),DAY(EOMONTH(A61,0)))))-SUM($F$46:$F60),0)</f>
        <v>0</v>
      </c>
      <c r="G61" s="111">
        <f>IF(A62&lt;&gt;"",COUNTIFS(デモトレ履歴!$M$4:$M$129,"loss",デモトレ履歴!$J$4:$J$129,"&lt;"&amp;IF(A62&lt;&gt;"",A62,DATE(YEAR(A61),MONTH(A61),DAY(EOMONTH(A61,0)))))-SUM($G$46:$G60),0)</f>
        <v>0</v>
      </c>
      <c r="H61" s="111">
        <f>COUNTIFS(デモトレ履歴!$M$4:$M$129,"drw",デモトレ履歴!$J$4:$J$129,"&lt;"&amp;IF(A62&lt;&gt;"",A62,DATE(YEAR(A61),MONTH(A61),DAY(EOMONTH(A61,0)))))-SUM($H$46:$H60)</f>
        <v>0</v>
      </c>
      <c r="I61" s="147">
        <f t="shared" si="14"/>
        <v>0</v>
      </c>
      <c r="J61" s="148">
        <f t="shared" si="9"/>
        <v>0</v>
      </c>
      <c r="K61" s="148">
        <f t="shared" si="10"/>
        <v>0</v>
      </c>
      <c r="L61" s="111">
        <f t="shared" si="15"/>
        <v>0</v>
      </c>
      <c r="M61" s="111">
        <f t="shared" si="11"/>
        <v>0</v>
      </c>
      <c r="N61" s="111">
        <f>IF(E61&gt;0,SUMIFS(デモトレ履歴!$P$4:$P$129,デモトレ履歴!$M$4:$M$129,"drw",デモトレ履歴!$R$4:$R$129,"&lt;"&amp;IF(A62&lt;&gt;"",A62,DATE(YEAR(A61),MONTH(A61),DAY(EOMONTH(A61,0)))))-SUM($C$46:$C60),0)</f>
        <v>0</v>
      </c>
      <c r="O61" s="148">
        <f t="shared" si="12"/>
        <v>522865</v>
      </c>
    </row>
    <row r="62" spans="1:15">
      <c r="A62" s="146">
        <f t="shared" si="13"/>
        <v>42856</v>
      </c>
      <c r="B62" s="111">
        <f>IF(E62&gt;0,SUMIFS(デモトレ履歴!$P$4:$P$129,デモトレ履歴!$M$4:$M$129,"win",デモトレ履歴!$J$4:$J129,"&lt;"&amp;IF(A63&lt;&gt;"",A63,DATE(YEAR(A62),MONTH(A62),DAY(EOMONTH(A62,0)))))-SUM($B$44:$B61),0)</f>
        <v>0</v>
      </c>
      <c r="C62" s="111">
        <f>IF(E62&gt;0,SUMIFS(デモトレ履歴!$P$4:$P$129,デモトレ履歴!$M$4:$M$129,"loss",デモトレ履歴!$J$4:$J$129,"&lt;"&amp;IF(A63&lt;&gt;"",A63,DATE(YEAR(A62),MONTH(A62),DAY(EOMONTH(A62,0)))))-SUM($C$46:$C61),0)</f>
        <v>0</v>
      </c>
      <c r="D62" s="111">
        <f t="shared" si="8"/>
        <v>0</v>
      </c>
      <c r="E62" s="111">
        <f>IF(A62&lt;&gt;"",COUNTIF(デモトレ履歴!$J$4:$J$129,"&lt;"&amp;IF(A63&lt;&gt;"",A63,DATE(YEAR(A62),MONTH(A62),DAY(EOMONTH(A62,0)))))-SUM($E$46:$E61),0)</f>
        <v>0</v>
      </c>
      <c r="F62" s="111">
        <f>IF(A63&lt;&gt;"",COUNTIFS(デモトレ履歴!$M$4:$M$129,"win",デモトレ履歴!$J$4:$J$129,"&lt;"&amp;IF(A63&lt;&gt;"",A63,DATE(YEAR(A62),MONTH(A62),DAY(EOMONTH(A62,0)))))-SUM($F$46:$F61),0)</f>
        <v>0</v>
      </c>
      <c r="G62" s="111">
        <f>IF(A63&lt;&gt;"",COUNTIFS(デモトレ履歴!$M$4:$M$129,"loss",デモトレ履歴!$J$4:$J$129,"&lt;"&amp;IF(A63&lt;&gt;"",A63,DATE(YEAR(A62),MONTH(A62),DAY(EOMONTH(A62,0)))))-SUM($G$46:$G61),0)</f>
        <v>0</v>
      </c>
      <c r="H62" s="111">
        <f>COUNTIFS(デモトレ履歴!$M$4:$M$129,"drw",デモトレ履歴!$J$4:$J$129,"&lt;"&amp;IF(A63&lt;&gt;"",A63,DATE(YEAR(A62),MONTH(A62),DAY(EOMONTH(A62,0)))))-SUM($H$46:$H61)</f>
        <v>0</v>
      </c>
      <c r="I62" s="147">
        <f t="shared" si="14"/>
        <v>0</v>
      </c>
      <c r="J62" s="148">
        <f t="shared" si="9"/>
        <v>0</v>
      </c>
      <c r="K62" s="148">
        <f t="shared" si="10"/>
        <v>0</v>
      </c>
      <c r="L62" s="111">
        <f t="shared" si="15"/>
        <v>0</v>
      </c>
      <c r="M62" s="111">
        <f t="shared" si="11"/>
        <v>0</v>
      </c>
      <c r="N62" s="111">
        <f>IF(E62&gt;0,SUMIFS(デモトレ履歴!$P$4:$P$129,デモトレ履歴!$M$4:$M$129,"drw",デモトレ履歴!$R$4:$R$129,"&lt;"&amp;IF(A63&lt;&gt;"",A63,DATE(YEAR(A62),MONTH(A62),DAY(EOMONTH(A62,0)))))-SUM($C$46:$C61),0)</f>
        <v>0</v>
      </c>
      <c r="O62" s="148">
        <f t="shared" si="12"/>
        <v>522865</v>
      </c>
    </row>
    <row r="63" spans="1:15">
      <c r="A63" s="146">
        <f t="shared" si="13"/>
        <v>42887</v>
      </c>
      <c r="B63" s="111">
        <f>IF(E63&gt;0,SUMIFS(デモトレ履歴!$P$4:$P$129,デモトレ履歴!$M$4:$M$129,"win",デモトレ履歴!$J$4:$J129,"&lt;"&amp;IF(A64&lt;&gt;"",A64,DATE(YEAR(A63),MONTH(A63),DAY(EOMONTH(A63,0)))))-SUM($B$44:$B62),0)</f>
        <v>0</v>
      </c>
      <c r="C63" s="111">
        <f>IF(E63&gt;0,SUMIFS(デモトレ履歴!$P$4:$P$129,デモトレ履歴!$M$4:$M$129,"loss",デモトレ履歴!$J$4:$J$129,"&lt;"&amp;IF(A64&lt;&gt;"",A64,DATE(YEAR(A63),MONTH(A63),DAY(EOMONTH(A63,0)))))-SUM($C$46:$C62),0)</f>
        <v>0</v>
      </c>
      <c r="D63" s="111">
        <f t="shared" si="8"/>
        <v>0</v>
      </c>
      <c r="E63" s="111">
        <f>IF(A63&lt;&gt;"",COUNTIF(デモトレ履歴!$J$4:$J$129,"&lt;"&amp;IF(A64&lt;&gt;"",A64,DATE(YEAR(A63),MONTH(A63),DAY(EOMONTH(A63,0)))))-SUM($E$46:$E62),0)</f>
        <v>0</v>
      </c>
      <c r="F63" s="111">
        <f>IF(A64&lt;&gt;"",COUNTIFS(デモトレ履歴!$M$4:$M$129,"win",デモトレ履歴!$J$4:$J$129,"&lt;"&amp;IF(A64&lt;&gt;"",A64,DATE(YEAR(A63),MONTH(A63),DAY(EOMONTH(A63,0)))))-SUM($F$46:$F62),0)</f>
        <v>0</v>
      </c>
      <c r="G63" s="111">
        <f>IF(A64&lt;&gt;"",COUNTIFS(デモトレ履歴!$M$4:$M$129,"loss",デモトレ履歴!$J$4:$J$129,"&lt;"&amp;IF(A64&lt;&gt;"",A64,DATE(YEAR(A63),MONTH(A63),DAY(EOMONTH(A63,0)))))-SUM($G$46:$G62),0)</f>
        <v>0</v>
      </c>
      <c r="H63" s="111">
        <f>COUNTIFS(デモトレ履歴!$M$4:$M$129,"drw",デモトレ履歴!$J$4:$J$129,"&lt;"&amp;IF(A64&lt;&gt;"",A64,DATE(YEAR(A63),MONTH(A63),DAY(EOMONTH(A63,0)))))-SUM($H$46:$H62)</f>
        <v>0</v>
      </c>
      <c r="I63" s="147">
        <f t="shared" si="14"/>
        <v>0</v>
      </c>
      <c r="J63" s="148">
        <f t="shared" si="9"/>
        <v>0</v>
      </c>
      <c r="K63" s="148">
        <f t="shared" si="10"/>
        <v>0</v>
      </c>
      <c r="L63" s="111">
        <f t="shared" si="15"/>
        <v>0</v>
      </c>
      <c r="M63" s="111">
        <f t="shared" si="11"/>
        <v>0</v>
      </c>
      <c r="N63" s="111">
        <f>IF(E63&gt;0,SUMIFS(デモトレ履歴!$P$4:$P$129,デモトレ履歴!$M$4:$M$129,"drw",デモトレ履歴!$R$4:$R$129,"&lt;"&amp;IF(A64&lt;&gt;"",A64,DATE(YEAR(A63),MONTH(A63),DAY(EOMONTH(A63,0)))))-SUM($C$46:$C62),0)</f>
        <v>0</v>
      </c>
      <c r="O63" s="148">
        <f t="shared" si="12"/>
        <v>522865</v>
      </c>
    </row>
    <row r="64" spans="1:15">
      <c r="A64" s="146"/>
      <c r="B64" s="111"/>
      <c r="C64" s="111"/>
      <c r="D64" s="111"/>
      <c r="E64" s="111"/>
      <c r="F64" s="111"/>
      <c r="G64" s="111"/>
      <c r="H64" s="111"/>
      <c r="I64" s="147"/>
      <c r="J64" s="111"/>
      <c r="K64" s="111"/>
      <c r="L64" s="111"/>
      <c r="M64" s="111"/>
      <c r="N64" s="148"/>
    </row>
    <row r="65" spans="1:14">
      <c r="A65" s="146"/>
      <c r="B65" s="111"/>
      <c r="C65" s="111"/>
      <c r="D65" s="111"/>
      <c r="E65" s="111"/>
      <c r="F65" s="111"/>
      <c r="G65" s="111"/>
      <c r="H65" s="111"/>
      <c r="I65" s="147"/>
      <c r="J65" s="111"/>
      <c r="K65" s="111"/>
      <c r="L65" s="111"/>
      <c r="M65" s="111"/>
      <c r="N65" s="148"/>
    </row>
    <row r="66" spans="1:14">
      <c r="A66" s="146"/>
      <c r="B66" s="111"/>
      <c r="C66" s="111"/>
      <c r="D66" s="111"/>
      <c r="E66" s="111"/>
      <c r="F66" s="111"/>
      <c r="G66" s="111"/>
      <c r="H66" s="111"/>
      <c r="I66" s="147"/>
      <c r="J66" s="111"/>
      <c r="K66" s="111"/>
      <c r="L66" s="111"/>
      <c r="M66" s="111"/>
      <c r="N66" s="148"/>
    </row>
    <row r="67" spans="1:14">
      <c r="A67" s="146"/>
      <c r="B67" s="111"/>
      <c r="C67" s="111"/>
      <c r="D67" s="111"/>
      <c r="E67" s="111"/>
      <c r="F67" s="111"/>
      <c r="G67" s="111"/>
      <c r="H67" s="111"/>
      <c r="I67" s="147"/>
      <c r="J67" s="111"/>
      <c r="K67" s="111"/>
      <c r="L67" s="111"/>
      <c r="M67" s="111"/>
      <c r="N67" s="148"/>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dimension ref="A1"/>
  <sheetViews>
    <sheetView zoomScale="97" zoomScaleSheetLayoutView="100" workbookViewId="0">
      <selection activeCell="A30" sqref="A3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5"/>
  <dimension ref="A1:D17"/>
  <sheetViews>
    <sheetView topLeftCell="A3" workbookViewId="0">
      <selection activeCell="C16" sqref="C16"/>
    </sheetView>
  </sheetViews>
  <sheetFormatPr defaultRowHeight="13.5"/>
  <cols>
    <col min="1" max="4" width="35.625" style="101" customWidth="1"/>
  </cols>
  <sheetData>
    <row r="1" spans="1:4" ht="83.25" customHeight="1">
      <c r="A1" s="223" t="s">
        <v>140</v>
      </c>
      <c r="B1" s="224"/>
      <c r="C1" s="224"/>
      <c r="D1" s="224"/>
    </row>
    <row r="2" spans="1:4" s="99" customFormat="1" ht="21.75" customHeight="1" thickBot="1">
      <c r="A2" s="103" t="s">
        <v>133</v>
      </c>
      <c r="B2" s="103" t="s">
        <v>134</v>
      </c>
      <c r="C2" s="103" t="s">
        <v>135</v>
      </c>
      <c r="D2" s="103" t="s">
        <v>136</v>
      </c>
    </row>
    <row r="3" spans="1:4" s="99" customFormat="1" ht="27.75" thickTop="1">
      <c r="A3" s="158" t="s">
        <v>290</v>
      </c>
      <c r="B3" s="102" t="s">
        <v>128</v>
      </c>
      <c r="C3" s="161" t="s">
        <v>291</v>
      </c>
      <c r="D3" s="102" t="s">
        <v>129</v>
      </c>
    </row>
    <row r="4" spans="1:4" s="99" customFormat="1" ht="40.5">
      <c r="A4" s="98" t="s">
        <v>137</v>
      </c>
      <c r="B4" s="108" t="s">
        <v>264</v>
      </c>
      <c r="C4" s="104" t="s">
        <v>139</v>
      </c>
      <c r="D4" s="151" t="s">
        <v>226</v>
      </c>
    </row>
    <row r="5" spans="1:4" s="99" customFormat="1" ht="40.5">
      <c r="A5" s="105" t="s">
        <v>147</v>
      </c>
      <c r="B5" s="98" t="s">
        <v>138</v>
      </c>
      <c r="C5" s="154" t="s">
        <v>288</v>
      </c>
      <c r="D5" s="154" t="s">
        <v>281</v>
      </c>
    </row>
    <row r="6" spans="1:4" s="99" customFormat="1" ht="33" customHeight="1">
      <c r="A6" s="98" t="s">
        <v>141</v>
      </c>
      <c r="B6" s="154" t="s">
        <v>432</v>
      </c>
      <c r="C6" s="176" t="s">
        <v>377</v>
      </c>
      <c r="D6" s="176" t="s">
        <v>282</v>
      </c>
    </row>
    <row r="7" spans="1:4" s="99" customFormat="1" ht="40.5">
      <c r="A7" s="154" t="s">
        <v>148</v>
      </c>
      <c r="B7" s="177" t="s">
        <v>433</v>
      </c>
      <c r="C7" s="98"/>
      <c r="D7" s="176" t="s">
        <v>309</v>
      </c>
    </row>
    <row r="8" spans="1:4" s="99" customFormat="1" ht="37.5" customHeight="1">
      <c r="A8" s="176" t="s">
        <v>152</v>
      </c>
      <c r="B8" s="175" t="s">
        <v>391</v>
      </c>
      <c r="C8" s="106"/>
      <c r="D8" s="176" t="s">
        <v>313</v>
      </c>
    </row>
    <row r="9" spans="1:4" s="99" customFormat="1" ht="37.5" customHeight="1">
      <c r="A9" s="108"/>
      <c r="B9" s="108" t="s">
        <v>450</v>
      </c>
      <c r="C9" s="174"/>
      <c r="D9" s="108" t="s">
        <v>424</v>
      </c>
    </row>
    <row r="10" spans="1:4" s="99" customFormat="1" ht="37.5" customHeight="1">
      <c r="A10" s="154"/>
      <c r="B10" s="154" t="s">
        <v>239</v>
      </c>
      <c r="C10" s="153"/>
      <c r="D10" s="153"/>
    </row>
    <row r="11" spans="1:4" s="99" customFormat="1">
      <c r="A11" s="100"/>
      <c r="B11" s="100"/>
      <c r="C11" s="100"/>
      <c r="D11" s="100"/>
    </row>
    <row r="12" spans="1:4" s="99" customFormat="1">
      <c r="A12" s="100"/>
      <c r="B12" s="100"/>
      <c r="C12" s="100"/>
      <c r="D12" s="100"/>
    </row>
    <row r="13" spans="1:4" s="99" customFormat="1">
      <c r="A13" s="100"/>
      <c r="B13" s="100"/>
      <c r="C13" s="100"/>
      <c r="D13" s="100"/>
    </row>
    <row r="14" spans="1:4" s="99" customFormat="1">
      <c r="A14" s="100"/>
      <c r="B14" s="100"/>
      <c r="C14" s="100"/>
      <c r="D14" s="100"/>
    </row>
    <row r="15" spans="1:4" s="99" customFormat="1">
      <c r="A15" s="100"/>
      <c r="B15" s="100"/>
      <c r="C15" s="100"/>
      <c r="D15" s="100"/>
    </row>
    <row r="16" spans="1:4" s="99" customFormat="1">
      <c r="A16" s="100"/>
      <c r="B16" s="100"/>
      <c r="C16" s="100"/>
      <c r="D16" s="100"/>
    </row>
    <row r="17" spans="1:4" s="99" customFormat="1">
      <c r="A17" s="100"/>
      <c r="B17" s="100"/>
      <c r="C17" s="100"/>
      <c r="D17" s="100"/>
    </row>
  </sheetData>
  <mergeCells count="1">
    <mergeCell ref="A1:D1"/>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130</v>
      </c>
    </row>
    <row r="63" spans="1:1">
      <c r="A63" s="10" t="s">
        <v>55</v>
      </c>
    </row>
    <row r="64" spans="1:1">
      <c r="A64" s="10" t="s">
        <v>131</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132</v>
      </c>
    </row>
    <row r="78" spans="1:1" ht="0.75" customHeight="1" thickBot="1">
      <c r="A78" s="16" t="s">
        <v>67</v>
      </c>
    </row>
    <row r="80" spans="1:1">
      <c r="A80" s="12" t="s">
        <v>125</v>
      </c>
    </row>
    <row r="81" spans="1:1" ht="17.25" customHeight="1">
      <c r="A81" s="6" t="s">
        <v>126</v>
      </c>
    </row>
    <row r="82" spans="1:1">
      <c r="A82" s="2" t="s">
        <v>127</v>
      </c>
    </row>
    <row r="83" spans="1:1">
      <c r="A83" s="2" t="s">
        <v>142</v>
      </c>
    </row>
    <row r="85" spans="1:1">
      <c r="A85" s="12" t="s">
        <v>144</v>
      </c>
    </row>
    <row r="86" spans="1:1">
      <c r="A86" s="2" t="s">
        <v>153</v>
      </c>
    </row>
    <row r="87" spans="1:1">
      <c r="A87" s="2" t="s">
        <v>150</v>
      </c>
    </row>
    <row r="88" spans="1:1">
      <c r="A88" s="2" t="s">
        <v>154</v>
      </c>
    </row>
    <row r="89" spans="1:1">
      <c r="A89" s="2" t="s">
        <v>145</v>
      </c>
    </row>
    <row r="90" spans="1:1">
      <c r="A90" s="2" t="s">
        <v>155</v>
      </c>
    </row>
    <row r="91" spans="1:1">
      <c r="A91" s="2" t="s">
        <v>149</v>
      </c>
    </row>
    <row r="92" spans="1:1" ht="27">
      <c r="A92" s="107" t="s">
        <v>146</v>
      </c>
    </row>
    <row r="93" spans="1:1">
      <c r="A93" s="2" t="s">
        <v>156</v>
      </c>
    </row>
    <row r="94" spans="1:1">
      <c r="A94" s="109" t="s">
        <v>151</v>
      </c>
    </row>
    <row r="96" spans="1:1">
      <c r="A96" s="152">
        <v>42296</v>
      </c>
    </row>
    <row r="97" spans="1:1">
      <c r="A97" s="2" t="s">
        <v>224</v>
      </c>
    </row>
    <row r="98" spans="1:1">
      <c r="A98" s="2" t="s">
        <v>225</v>
      </c>
    </row>
    <row r="99" spans="1:1">
      <c r="A99" s="2" t="s">
        <v>227</v>
      </c>
    </row>
    <row r="100" spans="1:1">
      <c r="A100" s="2" t="s">
        <v>228</v>
      </c>
    </row>
    <row r="102" spans="1:1">
      <c r="A102" s="152">
        <v>42303</v>
      </c>
    </row>
    <row r="103" spans="1:1" ht="0.75" customHeight="1">
      <c r="A103" s="2" t="s">
        <v>231</v>
      </c>
    </row>
    <row r="104" spans="1:1" ht="47.25" hidden="1" customHeight="1">
      <c r="A104" s="2" t="s">
        <v>232</v>
      </c>
    </row>
    <row r="105" spans="1:1" ht="40.5" hidden="1" customHeight="1">
      <c r="A105" s="2" t="s">
        <v>233</v>
      </c>
    </row>
    <row r="106" spans="1:1" ht="45.75" hidden="1" customHeight="1">
      <c r="A106" s="2" t="s">
        <v>229</v>
      </c>
    </row>
    <row r="107" spans="1:1" ht="58.5" hidden="1" customHeight="1">
      <c r="A107" s="2" t="s">
        <v>230</v>
      </c>
    </row>
    <row r="108" spans="1:1" ht="16.5" customHeight="1">
      <c r="A108" s="2" t="s">
        <v>241</v>
      </c>
    </row>
    <row r="109" spans="1:1" ht="16.5" customHeight="1">
      <c r="A109" s="2" t="s">
        <v>242</v>
      </c>
    </row>
    <row r="110" spans="1:1">
      <c r="A110" s="12" t="s">
        <v>240</v>
      </c>
    </row>
    <row r="111" spans="1:1">
      <c r="A111" s="12" t="s">
        <v>235</v>
      </c>
    </row>
    <row r="112" spans="1:1">
      <c r="A112" s="2" t="s">
        <v>234</v>
      </c>
    </row>
    <row r="113" spans="1:1">
      <c r="A113" s="2" t="s">
        <v>236</v>
      </c>
    </row>
    <row r="114" spans="1:1">
      <c r="A114" s="2" t="s">
        <v>237</v>
      </c>
    </row>
    <row r="115" spans="1:1">
      <c r="A115" s="2" t="s">
        <v>238</v>
      </c>
    </row>
    <row r="117" spans="1:1">
      <c r="A117" s="152">
        <v>42310</v>
      </c>
    </row>
    <row r="118" spans="1:1">
      <c r="A118" s="2" t="s">
        <v>243</v>
      </c>
    </row>
    <row r="119" spans="1:1">
      <c r="A119" s="2" t="s">
        <v>244</v>
      </c>
    </row>
    <row r="120" spans="1:1">
      <c r="A120" s="2" t="s">
        <v>245</v>
      </c>
    </row>
    <row r="121" spans="1:1">
      <c r="A121" s="155" t="s">
        <v>254</v>
      </c>
    </row>
    <row r="122" spans="1:1">
      <c r="A122" s="12" t="s">
        <v>246</v>
      </c>
    </row>
    <row r="123" spans="1:1">
      <c r="A123" s="2" t="s">
        <v>247</v>
      </c>
    </row>
    <row r="124" spans="1:1">
      <c r="A124" s="2" t="s">
        <v>248</v>
      </c>
    </row>
    <row r="125" spans="1:1">
      <c r="A125" s="2" t="s">
        <v>249</v>
      </c>
    </row>
    <row r="126" spans="1:1">
      <c r="A126" s="2" t="s">
        <v>251</v>
      </c>
    </row>
    <row r="127" spans="1:1">
      <c r="A127" s="2" t="s">
        <v>250</v>
      </c>
    </row>
    <row r="129" spans="1:1">
      <c r="A129" s="12" t="s">
        <v>253</v>
      </c>
    </row>
    <row r="130" spans="1:1">
      <c r="A130" s="2" t="s">
        <v>252</v>
      </c>
    </row>
    <row r="132" spans="1:1">
      <c r="A132" s="152">
        <v>42317</v>
      </c>
    </row>
    <row r="133" spans="1:1">
      <c r="A133" s="5" t="s">
        <v>255</v>
      </c>
    </row>
    <row r="134" spans="1:1" ht="31.5" customHeight="1">
      <c r="A134" s="6" t="s">
        <v>256</v>
      </c>
    </row>
    <row r="135" spans="1:1" ht="15.75" customHeight="1">
      <c r="A135" s="2" t="s">
        <v>261</v>
      </c>
    </row>
    <row r="136" spans="1:1" ht="47.25" customHeight="1">
      <c r="A136" s="6" t="s">
        <v>263</v>
      </c>
    </row>
    <row r="137" spans="1:1">
      <c r="A137" s="6" t="s">
        <v>262</v>
      </c>
    </row>
    <row r="138" spans="1:1" ht="27">
      <c r="A138" s="6" t="s">
        <v>257</v>
      </c>
    </row>
    <row r="140" spans="1:1">
      <c r="A140" s="2" t="s">
        <v>258</v>
      </c>
    </row>
    <row r="141" spans="1:1">
      <c r="A141" s="2" t="s">
        <v>259</v>
      </c>
    </row>
    <row r="142" spans="1:1">
      <c r="A142" s="2" t="s">
        <v>260</v>
      </c>
    </row>
    <row r="144" spans="1:1">
      <c r="A144" s="12" t="s">
        <v>265</v>
      </c>
    </row>
    <row r="145" spans="1:1">
      <c r="A145" s="2" t="s">
        <v>266</v>
      </c>
    </row>
    <row r="146" spans="1:1">
      <c r="A146" s="6" t="s">
        <v>268</v>
      </c>
    </row>
    <row r="147" spans="1:1">
      <c r="A147" s="2" t="s">
        <v>267</v>
      </c>
    </row>
    <row r="148" spans="1:1">
      <c r="A148" s="12" t="s">
        <v>271</v>
      </c>
    </row>
    <row r="149" spans="1:1">
      <c r="A149" s="2" t="s">
        <v>269</v>
      </c>
    </row>
    <row r="150" spans="1:1" ht="30" customHeight="1">
      <c r="A150" s="6" t="s">
        <v>270</v>
      </c>
    </row>
    <row r="152" spans="1:1">
      <c r="A152" s="12" t="s">
        <v>272</v>
      </c>
    </row>
    <row r="153" spans="1:1" s="157" customFormat="1">
      <c r="A153" s="156" t="s">
        <v>276</v>
      </c>
    </row>
    <row r="154" spans="1:1" s="157" customFormat="1">
      <c r="A154" s="2" t="s">
        <v>277</v>
      </c>
    </row>
    <row r="155" spans="1:1" s="157" customFormat="1">
      <c r="A155" s="2" t="s">
        <v>278</v>
      </c>
    </row>
    <row r="156" spans="1:1" s="157" customFormat="1">
      <c r="A156" s="6" t="s">
        <v>280</v>
      </c>
    </row>
    <row r="157" spans="1:1" s="157" customFormat="1" ht="17.25" customHeight="1">
      <c r="A157" s="12" t="s">
        <v>271</v>
      </c>
    </row>
    <row r="158" spans="1:1" s="157" customFormat="1" ht="33" customHeight="1">
      <c r="A158" s="8" t="s">
        <v>279</v>
      </c>
    </row>
    <row r="159" spans="1:1">
      <c r="A159" s="2" t="s">
        <v>273</v>
      </c>
    </row>
    <row r="160" spans="1:1">
      <c r="A160" s="2" t="s">
        <v>275</v>
      </c>
    </row>
    <row r="161" spans="1:1">
      <c r="A161" s="2" t="s">
        <v>274</v>
      </c>
    </row>
    <row r="163" spans="1:1">
      <c r="A163" s="12" t="s">
        <v>285</v>
      </c>
    </row>
    <row r="164" spans="1:1">
      <c r="A164" s="160" t="s">
        <v>286</v>
      </c>
    </row>
    <row r="165" spans="1:1">
      <c r="A165" s="160" t="s">
        <v>287</v>
      </c>
    </row>
    <row r="166" spans="1:1">
      <c r="A166" s="160" t="s">
        <v>289</v>
      </c>
    </row>
    <row r="167" spans="1:1">
      <c r="A167" s="160" t="s">
        <v>305</v>
      </c>
    </row>
    <row r="168" spans="1:1">
      <c r="A168" s="12" t="s">
        <v>292</v>
      </c>
    </row>
    <row r="169" spans="1:1">
      <c r="A169" s="12" t="s">
        <v>293</v>
      </c>
    </row>
    <row r="170" spans="1:1">
      <c r="A170" s="12" t="s">
        <v>297</v>
      </c>
    </row>
    <row r="171" spans="1:1" ht="30" customHeight="1">
      <c r="A171" s="8" t="s">
        <v>294</v>
      </c>
    </row>
    <row r="172" spans="1:1" ht="45.75" customHeight="1">
      <c r="A172" s="6" t="s">
        <v>296</v>
      </c>
    </row>
    <row r="173" spans="1:1" ht="18" customHeight="1">
      <c r="A173" s="2" t="s">
        <v>295</v>
      </c>
    </row>
    <row r="175" spans="1:1">
      <c r="A175" s="12" t="s">
        <v>298</v>
      </c>
    </row>
    <row r="176" spans="1:1">
      <c r="A176" s="156" t="s">
        <v>307</v>
      </c>
    </row>
    <row r="177" spans="1:1">
      <c r="A177" s="12" t="s">
        <v>306</v>
      </c>
    </row>
    <row r="178" spans="1:1">
      <c r="A178" s="2" t="s">
        <v>299</v>
      </c>
    </row>
    <row r="179" spans="1:1">
      <c r="A179" s="2" t="s">
        <v>300</v>
      </c>
    </row>
    <row r="180" spans="1:1">
      <c r="A180" s="2" t="s">
        <v>303</v>
      </c>
    </row>
    <row r="181" spans="1:1" s="99" customFormat="1">
      <c r="A181" s="12" t="s">
        <v>301</v>
      </c>
    </row>
    <row r="182" spans="1:1" s="99" customFormat="1">
      <c r="A182" s="12" t="s">
        <v>302</v>
      </c>
    </row>
    <row r="183" spans="1:1">
      <c r="A183" s="2" t="s">
        <v>304</v>
      </c>
    </row>
    <row r="187" spans="1:1">
      <c r="A187" s="12" t="s">
        <v>308</v>
      </c>
    </row>
    <row r="188" spans="1:1">
      <c r="A188" s="2" t="s">
        <v>314</v>
      </c>
    </row>
    <row r="189" spans="1:1" ht="48" customHeight="1">
      <c r="A189" s="6" t="s">
        <v>312</v>
      </c>
    </row>
    <row r="190" spans="1:1" ht="17.25" customHeight="1">
      <c r="A190" s="12" t="s">
        <v>310</v>
      </c>
    </row>
    <row r="191" spans="1:1" ht="15.75" customHeight="1">
      <c r="A191" s="12" t="s">
        <v>311</v>
      </c>
    </row>
    <row r="193" spans="1:1">
      <c r="A193" s="2" t="s">
        <v>316</v>
      </c>
    </row>
    <row r="194" spans="1:1">
      <c r="A194" s="2" t="s">
        <v>322</v>
      </c>
    </row>
    <row r="195" spans="1:1">
      <c r="A195" s="2" t="s">
        <v>319</v>
      </c>
    </row>
    <row r="196" spans="1:1">
      <c r="A196" s="2" t="s">
        <v>320</v>
      </c>
    </row>
    <row r="198" spans="1:1">
      <c r="A198" s="2" t="s">
        <v>317</v>
      </c>
    </row>
    <row r="199" spans="1:1">
      <c r="A199" s="2" t="s">
        <v>321</v>
      </c>
    </row>
    <row r="200" spans="1:1">
      <c r="A200" s="2" t="s">
        <v>318</v>
      </c>
    </row>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ルール＆合計</vt:lpstr>
      <vt:lpstr>デモトレ履歴</vt:lpstr>
      <vt:lpstr>画像04.18～29</vt:lpstr>
      <vt:lpstr>気づき</vt:lpstr>
      <vt:lpstr>決まり事 2016.04～</vt:lpstr>
      <vt:lpstr>成績表</vt:lpstr>
      <vt:lpstr>画像04.01～15</vt:lpstr>
      <vt:lpstr>決まり事～2016.03</vt:lpstr>
      <vt:lpstr>気づき2015</vt:lpstr>
      <vt:lpstr>Sheet1</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2016-05-01T17:39:10Z</dcterms:modified>
</cp:coreProperties>
</file>