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14" activeTab="1"/>
  </bookViews>
  <sheets>
    <sheet name="ルール＆合計" sheetId="3" r:id="rId1"/>
    <sheet name="トレード履歴" sheetId="2" r:id="rId2"/>
    <sheet name="EURJPY画像" sheetId="41" r:id="rId3"/>
    <sheet name="NZDUSD画像" sheetId="40" r:id="rId4"/>
    <sheet name="CADJPY画像" sheetId="39" r:id="rId5"/>
    <sheet name="USDJPY画像" sheetId="36" r:id="rId6"/>
    <sheet name="EURAUD画像" sheetId="37" r:id="rId7"/>
    <sheet name="気づき" sheetId="21" r:id="rId8"/>
    <sheet name="決まり事 2016.04～" sheetId="34" r:id="rId9"/>
    <sheet name="成績表" sheetId="9" r:id="rId10"/>
    <sheet name="決まり事～2016.03" sheetId="7" r:id="rId11"/>
    <sheet name="気づき2015" sheetId="1" r:id="rId12"/>
  </sheets>
  <definedNames>
    <definedName name="_xlnm._FilterDatabase" localSheetId="1" hidden="1">トレード履歴!$A$1:$Q$34</definedName>
  </definedNames>
  <calcPr calcId="124519"/>
</workbook>
</file>

<file path=xl/calcChain.xml><?xml version="1.0" encoding="utf-8"?>
<calcChain xmlns="http://schemas.openxmlformats.org/spreadsheetml/2006/main">
  <c r="U5" i="2"/>
  <c r="U4"/>
  <c r="U3"/>
  <c r="Q3"/>
  <c r="Q5"/>
  <c r="Q6" s="1"/>
  <c r="Q4"/>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G53" s="1"/>
  <c r="H52"/>
  <c r="F52"/>
  <c r="E52"/>
  <c r="B52" s="1"/>
  <c r="B51"/>
  <c r="N51"/>
  <c r="C51"/>
  <c r="A54"/>
  <c r="E53" s="1"/>
  <c r="B53" s="1"/>
  <c r="H53" l="1"/>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l="1"/>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66" i="2" l="1"/>
  <c r="O57"/>
  <c r="N57"/>
  <c r="M57"/>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<sst xmlns="http://schemas.openxmlformats.org/spreadsheetml/2006/main" count="444" uniqueCount="409">
  <si>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</si>
  <si>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</si>
  <si>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</si>
  <si>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</si>
  <si>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</si>
  <si>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</si>
  <si>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</si>
  <si>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</si>
  <si>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</si>
  <si>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</si>
  <si>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</si>
  <si>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</si>
  <si>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</si>
  <si>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</si>
  <si>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</si>
  <si>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</si>
  <si>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</si>
  <si>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</si>
  <si>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</si>
  <si>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</si>
  <si>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</si>
  <si>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</si>
  <si>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</si>
  <si>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</si>
  <si>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</si>
  <si>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</si>
  <si>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</si>
  <si>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</si>
  <si>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</si>
  <si>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</si>
  <si>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</si>
  <si>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</si>
  <si>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</si>
  <si>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</si>
  <si>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</si>
  <si>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</si>
  <si>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</si>
  <si>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</si>
  <si>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</si>
  <si>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</si>
  <si>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</si>
  <si>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</si>
  <si>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</si>
  <si>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</si>
  <si>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</si>
  <si>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</si>
  <si>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</si>
  <si>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</si>
  <si>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</si>
  <si>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</si>
  <si>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</si>
  <si>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</si>
  <si>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</si>
  <si>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</si>
  <si>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</si>
  <si>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</si>
  <si>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</si>
  <si>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</si>
  <si>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</si>
  <si>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</si>
  <si>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</si>
  <si>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</si>
  <si>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</si>
  <si>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</si>
  <si>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</si>
  <si>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</si>
  <si>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</si>
  <si>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</si>
  <si>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</si>
  <si>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</si>
  <si>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</si>
  <si>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</si>
  <si>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</si>
  <si>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</si>
  <si>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</si>
  <si>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</si>
  <si>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</si>
  <si>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</si>
  <si>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</si>
  <si>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</si>
  <si>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</si>
  <si>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</si>
  <si>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</si>
  <si>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</si>
  <si>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</si>
  <si>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</si>
  <si>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</si>
  <si>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</si>
  <si>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</si>
  <si>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</si>
  <si>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</si>
  <si>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</si>
  <si>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</si>
  <si>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</si>
  <si>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</si>
  <si>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</si>
  <si>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</si>
  <si>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</si>
  <si>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</si>
  <si>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</si>
  <si>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</si>
  <si>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</si>
  <si>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</si>
  <si>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</si>
  <si>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</si>
  <si>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</si>
  <si>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</si>
  <si>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</si>
  <si>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</si>
  <si>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</si>
  <si>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</si>
  <si>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</si>
  <si>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</si>
  <si>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</si>
  <si>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</si>
  <si>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</si>
  <si>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</si>
  <si>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</si>
  <si>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</si>
  <si>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</si>
  <si>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</si>
  <si>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</si>
  <si>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</si>
  <si>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</si>
  <si>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</si>
  <si>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</si>
  <si>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</si>
  <si>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</si>
  <si>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</si>
  <si>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</si>
  <si>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</si>
  <si>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</si>
  <si>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</si>
  <si>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</si>
  <si>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</si>
  <si>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</si>
  <si>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</si>
  <si>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</si>
  <si>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</si>
  <si>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</si>
  <si>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</si>
  <si>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</si>
  <si>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</si>
  <si>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</si>
  <si>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</si>
  <si>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</si>
  <si>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</si>
  <si>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</si>
  <si>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</si>
  <si>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</si>
  <si>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</si>
  <si>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</si>
  <si>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</si>
  <si>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</si>
  <si>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</si>
  <si>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</si>
  <si>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</si>
  <si>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</si>
  <si>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</si>
  <si>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</si>
  <si>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</si>
  <si>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</si>
  <si>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</si>
  <si>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</si>
  <si>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</si>
  <si>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</si>
  <si>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</si>
  <si>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</si>
  <si>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</si>
  <si>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</si>
  <si>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</si>
  <si>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</si>
  <si>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</si>
  <si>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</si>
  <si>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</si>
  <si>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</si>
  <si>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</si>
  <si>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</si>
  <si>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</si>
  <si>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</si>
  <si>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</si>
  <si>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</si>
  <si>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</si>
  <si>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</si>
  <si>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</si>
  <si>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</si>
  <si>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</si>
  <si>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</si>
  <si>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</si>
  <si>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</si>
  <si>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</si>
  <si>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</si>
  <si>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</si>
  <si>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</si>
  <si>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</si>
  <si>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</si>
  <si>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</si>
  <si>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</si>
  <si>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</si>
  <si>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</si>
  <si>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</si>
  <si>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</si>
  <si>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</si>
  <si>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</si>
  <si>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</si>
  <si>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</si>
  <si>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</si>
  <si>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</si>
  <si>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</si>
  <si>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</si>
  <si>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</si>
  <si>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</si>
  <si>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</si>
  <si>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</si>
  <si>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</si>
  <si>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</si>
  <si>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</si>
  <si>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</si>
  <si>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</si>
  <si>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</si>
  <si>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</si>
  <si>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</si>
  <si>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</si>
  <si>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</si>
  <si>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</si>
  <si>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</si>
  <si>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</si>
  <si>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</si>
  <si>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</si>
  <si>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</si>
  <si>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</si>
  <si>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</si>
  <si>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</si>
  <si>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</si>
  <si>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</si>
  <si>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</si>
  <si>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</si>
  <si>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</si>
  <si>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</si>
  <si>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</si>
  <si>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</si>
  <si>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</si>
  <si>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</si>
  <si>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</si>
  <si>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</si>
  <si>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</si>
  <si>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</si>
  <si>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</si>
  <si>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</si>
  <si>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</si>
  <si>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</si>
  <si>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</si>
  <si>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</si>
  <si>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</si>
  <si>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</si>
  <si>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</si>
  <si>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</si>
  <si>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</si>
  <si>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</si>
  <si>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</si>
  <si>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</si>
  <si>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</si>
  <si>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</si>
  <si>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</si>
  <si>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</si>
  <si>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</si>
  <si>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</si>
  <si>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</si>
  <si>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</si>
  <si>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</si>
  <si>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</si>
  <si>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</si>
  <si>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</si>
  <si>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</si>
  <si>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</si>
  <si>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</si>
  <si>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</si>
  <si>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</si>
  <si>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</si>
  <si>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</si>
  <si>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</si>
  <si>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</si>
  <si>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</si>
  <si>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</si>
  <si>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</si>
  <si>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</si>
  <si>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</si>
  <si>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</si>
  <si>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</si>
  <si>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</si>
  <si>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</si>
  <si>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</si>
  <si>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</si>
  <si>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</si>
  <si>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</si>
  <si>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</si>
  <si>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</si>
  <si>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</si>
  <si>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</si>
  <si>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</si>
  <si>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</si>
  <si>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</si>
  <si>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</si>
  <si>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</si>
  <si>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</si>
  <si>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</si>
  <si>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</si>
  <si>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</si>
  <si>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</si>
  <si>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</si>
  <si>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</si>
  <si>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</si>
  <si>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</si>
  <si>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</si>
  <si>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</si>
  <si>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</si>
  <si>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</si>
  <si>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</si>
  <si>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</si>
  <si>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</si>
  <si>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</si>
  <si>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</si>
  <si>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</si>
  <si>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</si>
  <si>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</si>
  <si>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</si>
  <si>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</si>
  <si>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</si>
  <si>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</si>
  <si>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</si>
  <si>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</si>
  <si>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</si>
  <si>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</si>
  <si>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</si>
  <si>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</si>
  <si>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</si>
  <si>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</si>
  <si>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</si>
  <si>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</si>
  <si>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</si>
  <si>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</si>
  <si>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</si>
  <si>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</si>
  <si>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</si>
  <si>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</si>
  <si>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</si>
  <si>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</si>
  <si>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</si>
  <si>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</si>
  <si>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</si>
  <si>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</si>
  <si>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</si>
  <si>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</si>
  <si>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</si>
  <si>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</si>
  <si>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</si>
  <si>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</si>
  <si>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</si>
  <si>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</si>
  <si>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</si>
  <si>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</si>
  <si>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</si>
  <si>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</si>
  <si>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</si>
  <si>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</si>
  <si>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</si>
  <si>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</si>
  <si>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</si>
  <si>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</si>
  <si>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</si>
  <si>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</si>
  <si>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</si>
  <si>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</si>
  <si>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</si>
  <si>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</si>
  <si>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</si>
  <si>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</si>
  <si>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</si>
  <si>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</si>
  <si>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</si>
  <si>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</si>
  <si>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</si>
  <si>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</si>
  <si>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</si>
  <si>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</si>
  <si>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</si>
  <si>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</si>
  <si>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t>エントリーが長期間できないとルールを緩めすぎる×御法度！！</t>
    <rPh sb="6" eb="9">
      <t>チョウキカン</t>
    </rPh>
    <rPh sb="18" eb="19">
      <t>ユル</t>
    </rPh>
    <rPh sb="24" eb="27">
      <t>ゴハット</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</si>
  <si>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</si>
  <si>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</si>
  <si>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</si>
  <si>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</si>
  <si>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</si>
  <si>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</si>
  <si>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</si>
  <si>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</si>
  <si>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t>
    </r>
    <r>
      <rPr>
        <strike/>
        <sz val="11"/>
        <color indexed="8"/>
        <rFont val="ＭＳ Ｐゴシック"/>
        <family val="3"/>
        <charset val="128"/>
      </rPr>
      <t>・完璧なSWルールに合致していない場合はリスクを落として入る。
・SWができたところで強いS/Rに当たっていればリスクをかける。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</si>
  <si>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</si>
  <si>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</si>
  <si>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</si>
  <si>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</si>
  <si>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</si>
  <si>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</si>
  <si>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</si>
  <si>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</si>
  <si>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</si>
  <si>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</si>
  <si>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1h→5m</t>
    <phoneticPr fontId="2"/>
  </si>
  <si>
    <t>3%ﾘｽｸなら</t>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</si>
</sst>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196">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22" xfId="0" applyBorder="1" applyAlignment="1">
      <alignment vertical="center"/>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9" borderId="22" xfId="0" applyFill="1" applyBorder="1">
      <alignmen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0</c:v>
                </c:pt>
                <c:pt idx="2">
                  <c:v>0</c:v>
                </c:pt>
                <c:pt idx="3">
                  <c:v>870</c:v>
                </c:pt>
                <c:pt idx="4">
                  <c:v>0</c:v>
                </c:pt>
                <c:pt idx="5">
                  <c:v>0</c:v>
                </c:pt>
                <c:pt idx="6">
                  <c:v>0</c:v>
                </c:pt>
                <c:pt idx="7">
                  <c:v>0</c:v>
                </c:pt>
                <c:pt idx="8">
                  <c:v>0</c:v>
                </c:pt>
                <c:pt idx="9">
                  <c:v>0</c:v>
                </c:pt>
                <c:pt idx="10">
                  <c:v>0</c:v>
                </c:pt>
                <c:pt idx="11">
                  <c:v>0</c:v>
                </c:pt>
                <c:pt idx="12">
                  <c:v>0</c:v>
                </c:pt>
                <c:pt idx="13">
                  <c:v>533</c:v>
                </c:pt>
                <c:pt idx="14">
                  <c:v>0</c:v>
                </c:pt>
                <c:pt idx="15">
                  <c:v>0</c:v>
                </c:pt>
                <c:pt idx="16">
                  <c:v>0</c:v>
                </c:pt>
                <c:pt idx="17">
                  <c:v>0</c:v>
                </c:pt>
                <c:pt idx="18">
                  <c:v>0</c:v>
                </c:pt>
                <c:pt idx="19">
                  <c:v>0</c:v>
                </c:pt>
                <c:pt idx="20">
                  <c:v>0</c:v>
                </c:pt>
                <c:pt idx="21">
                  <c:v>0</c:v>
                </c:pt>
                <c:pt idx="22">
                  <c:v>0</c:v>
                </c:pt>
                <c:pt idx="23">
                  <c:v>575</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axId val="86789120"/>
        <c:axId val="86831872"/>
      </c:barChart>
      <c:catAx>
        <c:axId val="86789120"/>
        <c:scaling>
          <c:orientation val="minMax"/>
        </c:scaling>
        <c:axPos val="b"/>
        <c:majorTickMark val="none"/>
        <c:tickLblPos val="nextTo"/>
        <c:crossAx val="86831872"/>
        <c:crosses val="autoZero"/>
        <c:auto val="1"/>
        <c:lblAlgn val="ctr"/>
        <c:lblOffset val="100"/>
      </c:catAx>
      <c:valAx>
        <c:axId val="86831872"/>
        <c:scaling>
          <c:orientation val="minMax"/>
        </c:scaling>
        <c:axPos val="l"/>
        <c:majorGridlines/>
        <c:numFmt formatCode="&quot;¥&quot;#,##0;[Red]\-&quot;¥&quot;#,##0" sourceLinked="1"/>
        <c:majorTickMark val="none"/>
        <c:tickLblPos val="nextTo"/>
        <c:crossAx val="86789120"/>
        <c:crosses val="autoZero"/>
        <c:crossBetween val="between"/>
      </c:valAx>
    </c:plotArea>
    <c:legend>
      <c:legendPos val="r"/>
    </c:legend>
    <c:plotVisOnly val="1"/>
    <c:dispBlanksAs val="gap"/>
  </c:chart>
  <c:printSettings>
    <c:headerFooter/>
    <c:pageMargins b="0.75000000000000933" l="0.70000000000000062" r="0.70000000000000062" t="0.750000000000009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091"/>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86584704"/>
        <c:axId val="86602880"/>
      </c:lineChart>
      <c:dateAx>
        <c:axId val="86584704"/>
        <c:scaling>
          <c:orientation val="minMax"/>
        </c:scaling>
        <c:axPos val="b"/>
        <c:numFmt formatCode="yyyy&quot;年&quot;mm&quot;月&quot;" sourceLinked="1"/>
        <c:majorTickMark val="none"/>
        <c:tickLblPos val="nextTo"/>
        <c:crossAx val="86602880"/>
        <c:crosses val="autoZero"/>
        <c:auto val="1"/>
        <c:lblOffset val="100"/>
        <c:baseTimeUnit val="months"/>
      </c:dateAx>
      <c:valAx>
        <c:axId val="8660288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689"/>
            </c:manualLayout>
          </c:layout>
        </c:title>
        <c:numFmt formatCode="&quot;¥&quot;#,##0;\-&quot;¥&quot;#,##0" sourceLinked="1"/>
        <c:majorTickMark val="none"/>
        <c:tickLblPos val="nextTo"/>
        <c:crossAx val="86584704"/>
        <c:crosses val="autoZero"/>
        <c:crossBetween val="between"/>
      </c:valAx>
    </c:plotArea>
    <c:legend>
      <c:legendPos val="r"/>
    </c:legend>
    <c:plotVisOnly val="1"/>
    <c:dispBlanksAs val="gap"/>
  </c:chart>
  <c:printSettings>
    <c:headerFooter/>
    <c:pageMargins b="0.75000000000000933" l="0.70000000000000062" r="0.70000000000000062" t="0.75000000000000933" header="0.30000000000000032" footer="0.30000000000000032"/>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9</xdr:col>
      <xdr:colOff>200025</xdr:colOff>
      <xdr:row>1</xdr:row>
      <xdr:rowOff>2390775</xdr:rowOff>
    </xdr:to>
    <xdr:sp macro="" textlink="">
      <xdr:nvSpPr>
        <xdr:cNvPr id="4" name="テキスト ボックス 3"/>
        <xdr:cNvSpPr txBox="1"/>
      </xdr:nvSpPr>
      <xdr:spPr>
        <a:xfrm>
          <a:off x="7277100" y="2362200"/>
          <a:ext cx="2238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47625</xdr:colOff>
      <xdr:row>64</xdr:row>
      <xdr:rowOff>28575</xdr:rowOff>
    </xdr:to>
    <xdr:pic>
      <xdr:nvPicPr>
        <xdr:cNvPr id="12291" name="Picture 3"/>
        <xdr:cNvPicPr>
          <a:picLocks noChangeAspect="1" noChangeArrowheads="1"/>
        </xdr:cNvPicPr>
      </xdr:nvPicPr>
      <xdr:blipFill>
        <a:blip xmlns:r="http://schemas.openxmlformats.org/officeDocument/2006/relationships" r:embed="rId1"/>
        <a:srcRect l="4758" t="13151" b="13281"/>
        <a:stretch>
          <a:fillRect/>
        </a:stretch>
      </xdr:blipFill>
      <xdr:spPr bwMode="auto">
        <a:xfrm>
          <a:off x="0" y="5619750"/>
          <a:ext cx="12392025" cy="53816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17</xdr:col>
      <xdr:colOff>647700</xdr:colOff>
      <xdr:row>31</xdr:row>
      <xdr:rowOff>66675</xdr:rowOff>
    </xdr:to>
    <xdr:pic>
      <xdr:nvPicPr>
        <xdr:cNvPr id="12290" name="Picture 2"/>
        <xdr:cNvPicPr>
          <a:picLocks noChangeAspect="1" noChangeArrowheads="1"/>
        </xdr:cNvPicPr>
      </xdr:nvPicPr>
      <xdr:blipFill>
        <a:blip xmlns:r="http://schemas.openxmlformats.org/officeDocument/2006/relationships" r:embed="rId2"/>
        <a:srcRect l="5417" t="13021" b="13411"/>
        <a:stretch>
          <a:fillRect/>
        </a:stretch>
      </xdr:blipFill>
      <xdr:spPr bwMode="auto">
        <a:xfrm>
          <a:off x="0" y="0"/>
          <a:ext cx="12306300" cy="538162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2" name="テキスト ボックス 1"/>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No.5:EURJPY</a:t>
          </a:r>
        </a:p>
        <a:p>
          <a:r>
            <a:rPr kumimoji="1" lang="ja-JP" altLang="en-US" sz="1100"/>
            <a:t>相場認識</a:t>
          </a:r>
        </a:p>
      </xdr:txBody>
    </xdr:sp>
    <xdr:clientData/>
  </xdr:twoCellAnchor>
  <xdr:twoCellAnchor>
    <xdr:from>
      <xdr:col>10</xdr:col>
      <xdr:colOff>304800</xdr:colOff>
      <xdr:row>7</xdr:row>
      <xdr:rowOff>143669</xdr:rowOff>
    </xdr:from>
    <xdr:to>
      <xdr:col>10</xdr:col>
      <xdr:colOff>305594</xdr:colOff>
      <xdr:row>10</xdr:row>
      <xdr:rowOff>123825</xdr:rowOff>
    </xdr:to>
    <xdr:cxnSp macro="">
      <xdr:nvCxnSpPr>
        <xdr:cNvPr id="3" name="直線矢印コネクタ 2"/>
        <xdr:cNvCxnSpPr/>
      </xdr:nvCxnSpPr>
      <xdr:spPr>
        <a:xfrm rot="5400000">
          <a:off x="6915944" y="1590675"/>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38101</xdr:colOff>
      <xdr:row>11</xdr:row>
      <xdr:rowOff>38100</xdr:rowOff>
    </xdr:from>
    <xdr:to>
      <xdr:col>5</xdr:col>
      <xdr:colOff>47626</xdr:colOff>
      <xdr:row>14</xdr:row>
      <xdr:rowOff>152400</xdr:rowOff>
    </xdr:to>
    <xdr:cxnSp macro="">
      <xdr:nvCxnSpPr>
        <xdr:cNvPr id="4" name="直線矢印コネクタ 3"/>
        <xdr:cNvCxnSpPr/>
      </xdr:nvCxnSpPr>
      <xdr:spPr>
        <a:xfrm rot="16200000" flipV="1">
          <a:off x="3157539" y="223361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76201</xdr:colOff>
      <xdr:row>11</xdr:row>
      <xdr:rowOff>133349</xdr:rowOff>
    </xdr:from>
    <xdr:to>
      <xdr:col>14</xdr:col>
      <xdr:colOff>85726</xdr:colOff>
      <xdr:row>15</xdr:row>
      <xdr:rowOff>76199</xdr:rowOff>
    </xdr:to>
    <xdr:cxnSp macro="">
      <xdr:nvCxnSpPr>
        <xdr:cNvPr id="5" name="直線矢印コネクタ 4"/>
        <xdr:cNvCxnSpPr/>
      </xdr:nvCxnSpPr>
      <xdr:spPr>
        <a:xfrm rot="16200000" flipV="1">
          <a:off x="9367839" y="2328861"/>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6" name="テキスト ボックス 5"/>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FIB38.2</a:t>
          </a:r>
          <a:r>
            <a:rPr kumimoji="1" lang="ja-JP" altLang="en-US" sz="1100"/>
            <a:t>のラインも近い</a:t>
          </a:r>
        </a:p>
      </xdr:txBody>
    </xdr:sp>
    <xdr:clientData/>
  </xdr:twoCellAnchor>
  <xdr:twoCellAnchor>
    <xdr:from>
      <xdr:col>0</xdr:col>
      <xdr:colOff>95250</xdr:colOff>
      <xdr:row>33</xdr:row>
      <xdr:rowOff>161925</xdr:rowOff>
    </xdr:from>
    <xdr:to>
      <xdr:col>2</xdr:col>
      <xdr:colOff>95250</xdr:colOff>
      <xdr:row>36</xdr:row>
      <xdr:rowOff>161925</xdr:rowOff>
    </xdr:to>
    <xdr:sp macro="" textlink="">
      <xdr:nvSpPr>
        <xdr:cNvPr id="7" name="テキスト ボックス 6"/>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a:t>
          </a:r>
          <a:r>
            <a:rPr kumimoji="1" lang="ja-JP" altLang="en-US" sz="1100"/>
            <a:t>分足で笹田ｗトップと認識。</a:t>
          </a:r>
          <a:endParaRPr kumimoji="1" lang="en-US" altLang="ja-JP" sz="1100"/>
        </a:p>
        <a:p>
          <a:endParaRPr kumimoji="1" lang="ja-JP" altLang="en-US" sz="1100"/>
        </a:p>
      </xdr:txBody>
    </xdr:sp>
    <xdr:clientData/>
  </xdr:twoCellAnchor>
  <xdr:twoCellAnchor>
    <xdr:from>
      <xdr:col>0</xdr:col>
      <xdr:colOff>104775</xdr:colOff>
      <xdr:row>37</xdr:row>
      <xdr:rowOff>85724</xdr:rowOff>
    </xdr:from>
    <xdr:to>
      <xdr:col>2</xdr:col>
      <xdr:colOff>104775</xdr:colOff>
      <xdr:row>43</xdr:row>
      <xdr:rowOff>47625</xdr:rowOff>
    </xdr:to>
    <xdr:sp macro="" textlink="">
      <xdr:nvSpPr>
        <xdr:cNvPr id="8" name="テキスト ボックス 7"/>
        <xdr:cNvSpPr txBox="1"/>
      </xdr:nvSpPr>
      <xdr:spPr>
        <a:xfrm>
          <a:off x="104775" y="6429374"/>
          <a:ext cx="1371600"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・今週２勝している</a:t>
          </a:r>
          <a:endParaRPr kumimoji="1" lang="en-US" altLang="ja-JP" sz="1100"/>
        </a:p>
        <a:p>
          <a:r>
            <a:rPr kumimoji="1" lang="ja-JP" altLang="en-US" sz="1100"/>
            <a:t>・</a:t>
          </a:r>
          <a:r>
            <a:rPr kumimoji="1" lang="en-US" altLang="ja-JP" sz="1100"/>
            <a:t>30</a:t>
          </a:r>
          <a:r>
            <a:rPr kumimoji="1" lang="ja-JP" altLang="en-US" sz="1100"/>
            <a:t>分足</a:t>
          </a:r>
          <a:endParaRPr kumimoji="1" lang="en-US" altLang="ja-JP" sz="1100"/>
        </a:p>
        <a:p>
          <a:r>
            <a:rPr kumimoji="1" lang="ja-JP" altLang="en-US" sz="1100"/>
            <a:t>・</a:t>
          </a:r>
          <a:r>
            <a:rPr kumimoji="1" lang="en-US" altLang="ja-JP" sz="1100"/>
            <a:t>D/J</a:t>
          </a:r>
          <a:r>
            <a:rPr kumimoji="1" lang="ja-JP" altLang="en-US" sz="1100"/>
            <a:t>継続相場</a:t>
          </a:r>
          <a:endParaRPr kumimoji="1" lang="en-US" altLang="ja-JP" sz="1100"/>
        </a:p>
        <a:p>
          <a:r>
            <a:rPr kumimoji="1" lang="ja-JP" altLang="en-US" sz="1100"/>
            <a:t>なのでムリしない計画で</a:t>
          </a:r>
          <a:r>
            <a:rPr kumimoji="1" lang="en-US" altLang="ja-JP" sz="1100"/>
            <a:t>IN</a:t>
          </a:r>
          <a:endParaRPr kumimoji="1" lang="ja-JP" altLang="en-US" sz="1100"/>
        </a:p>
      </xdr:txBody>
    </xdr:sp>
    <xdr:clientData/>
  </xdr:twoCellAnchor>
  <xdr:twoCellAnchor>
    <xdr:from>
      <xdr:col>0</xdr:col>
      <xdr:colOff>104775</xdr:colOff>
      <xdr:row>43</xdr:row>
      <xdr:rowOff>133349</xdr:rowOff>
    </xdr:from>
    <xdr:to>
      <xdr:col>2</xdr:col>
      <xdr:colOff>104775</xdr:colOff>
      <xdr:row>48</xdr:row>
      <xdr:rowOff>123824</xdr:rowOff>
    </xdr:to>
    <xdr:sp macro="" textlink="">
      <xdr:nvSpPr>
        <xdr:cNvPr id="9" name="テキスト ボックス 8"/>
        <xdr:cNvSpPr txBox="1"/>
      </xdr:nvSpPr>
      <xdr:spPr>
        <a:xfrm>
          <a:off x="104775" y="7505699"/>
          <a:ext cx="13716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ある程度まで下げたので建値にストップ移動→戻ってきて建値撤退。</a:t>
          </a:r>
        </a:p>
      </xdr:txBody>
    </xdr:sp>
    <xdr:clientData/>
  </xdr:twoCellAnchor>
  <xdr:twoCellAnchor>
    <xdr:from>
      <xdr:col>8</xdr:col>
      <xdr:colOff>47625</xdr:colOff>
      <xdr:row>53</xdr:row>
      <xdr:rowOff>123825</xdr:rowOff>
    </xdr:from>
    <xdr:to>
      <xdr:col>9</xdr:col>
      <xdr:colOff>104775</xdr:colOff>
      <xdr:row>55</xdr:row>
      <xdr:rowOff>38100</xdr:rowOff>
    </xdr:to>
    <xdr:cxnSp macro="">
      <xdr:nvCxnSpPr>
        <xdr:cNvPr id="10" name="直線矢印コネクタ 9"/>
        <xdr:cNvCxnSpPr/>
      </xdr:nvCxnSpPr>
      <xdr:spPr>
        <a:xfrm>
          <a:off x="5534025" y="9210675"/>
          <a:ext cx="742950" cy="2571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504827</xdr:colOff>
      <xdr:row>33</xdr:row>
      <xdr:rowOff>161925</xdr:rowOff>
    </xdr:from>
    <xdr:to>
      <xdr:col>8</xdr:col>
      <xdr:colOff>581025</xdr:colOff>
      <xdr:row>35</xdr:row>
      <xdr:rowOff>9527</xdr:rowOff>
    </xdr:to>
    <xdr:cxnSp macro="">
      <xdr:nvCxnSpPr>
        <xdr:cNvPr id="11" name="直線矢印コネクタ 10"/>
        <xdr:cNvCxnSpPr/>
      </xdr:nvCxnSpPr>
      <xdr:spPr>
        <a:xfrm flipV="1">
          <a:off x="5305427" y="581977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39</xdr:row>
      <xdr:rowOff>0</xdr:rowOff>
    </xdr:from>
    <xdr:to>
      <xdr:col>9</xdr:col>
      <xdr:colOff>485775</xdr:colOff>
      <xdr:row>40</xdr:row>
      <xdr:rowOff>66675</xdr:rowOff>
    </xdr:to>
    <xdr:sp macro="" textlink="">
      <xdr:nvSpPr>
        <xdr:cNvPr id="14" name="角丸四角形吹き出し 13"/>
        <xdr:cNvSpPr/>
      </xdr:nvSpPr>
      <xdr:spPr>
        <a:xfrm>
          <a:off x="6162675" y="6686550"/>
          <a:ext cx="495300" cy="238125"/>
        </a:xfrm>
        <a:prstGeom prst="wedgeRoundRectCallout">
          <a:avLst>
            <a:gd name="adj1" fmla="val 63330"/>
            <a:gd name="adj2" fmla="val -1219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1</xdr:col>
      <xdr:colOff>390526</xdr:colOff>
      <xdr:row>11</xdr:row>
      <xdr:rowOff>9525</xdr:rowOff>
    </xdr:from>
    <xdr:to>
      <xdr:col>1</xdr:col>
      <xdr:colOff>400051</xdr:colOff>
      <xdr:row>14</xdr:row>
      <xdr:rowOff>123825</xdr:rowOff>
    </xdr:to>
    <xdr:cxnSp macro="">
      <xdr:nvCxnSpPr>
        <xdr:cNvPr id="17" name="直線矢印コネクタ 16"/>
        <xdr:cNvCxnSpPr/>
      </xdr:nvCxnSpPr>
      <xdr:spPr>
        <a:xfrm rot="16200000" flipV="1">
          <a:off x="766764" y="2205037"/>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638173</xdr:colOff>
      <xdr:row>34</xdr:row>
      <xdr:rowOff>66675</xdr:rowOff>
    </xdr:from>
    <xdr:to>
      <xdr:col>11</xdr:col>
      <xdr:colOff>85724</xdr:colOff>
      <xdr:row>36</xdr:row>
      <xdr:rowOff>0</xdr:rowOff>
    </xdr:to>
    <xdr:sp macro="" textlink="">
      <xdr:nvSpPr>
        <xdr:cNvPr id="20" name="角丸四角形吹き出し 19"/>
        <xdr:cNvSpPr/>
      </xdr:nvSpPr>
      <xdr:spPr>
        <a:xfrm>
          <a:off x="6810373" y="5895975"/>
          <a:ext cx="819151" cy="276225"/>
        </a:xfrm>
        <a:prstGeom prst="wedgeRoundRectCallout">
          <a:avLst>
            <a:gd name="adj1" fmla="val -39487"/>
            <a:gd name="adj2" fmla="val 1505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10</xdr:col>
      <xdr:colOff>352424</xdr:colOff>
      <xdr:row>40</xdr:row>
      <xdr:rowOff>95250</xdr:rowOff>
    </xdr:from>
    <xdr:to>
      <xdr:col>12</xdr:col>
      <xdr:colOff>19050</xdr:colOff>
      <xdr:row>42</xdr:row>
      <xdr:rowOff>142875</xdr:rowOff>
    </xdr:to>
    <xdr:sp macro="" textlink="">
      <xdr:nvSpPr>
        <xdr:cNvPr id="21" name="角丸四角形吹き出し 20"/>
        <xdr:cNvSpPr/>
      </xdr:nvSpPr>
      <xdr:spPr>
        <a:xfrm>
          <a:off x="7210424" y="6953250"/>
          <a:ext cx="1038226" cy="390525"/>
        </a:xfrm>
        <a:prstGeom prst="wedgeRoundRectCallout">
          <a:avLst>
            <a:gd name="adj1" fmla="val -46771"/>
            <a:gd name="adj2" fmla="val -842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a:t>
          </a:r>
          <a:r>
            <a:rPr kumimoji="1" lang="en-US" altLang="ja-JP" sz="1100"/>
            <a:t>-61.8</a:t>
          </a:r>
          <a:r>
            <a:rPr kumimoji="1" lang="ja-JP" altLang="en-US" sz="1100"/>
            <a:t>までは下げた</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38100</xdr:colOff>
      <xdr:row>64</xdr:row>
      <xdr:rowOff>123825</xdr:rowOff>
    </xdr:to>
    <xdr:pic>
      <xdr:nvPicPr>
        <xdr:cNvPr id="11266" name="Picture 2"/>
        <xdr:cNvPicPr>
          <a:picLocks noChangeAspect="1" noChangeArrowheads="1"/>
        </xdr:cNvPicPr>
      </xdr:nvPicPr>
      <xdr:blipFill>
        <a:blip xmlns:r="http://schemas.openxmlformats.org/officeDocument/2006/relationships" r:embed="rId1"/>
        <a:srcRect l="4832" t="12500" b="12630"/>
        <a:stretch>
          <a:fillRect/>
        </a:stretch>
      </xdr:blipFill>
      <xdr:spPr bwMode="auto">
        <a:xfrm>
          <a:off x="0" y="5619750"/>
          <a:ext cx="12382500" cy="54768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142875</xdr:rowOff>
    </xdr:to>
    <xdr:pic>
      <xdr:nvPicPr>
        <xdr:cNvPr id="11265" name="Picture 1"/>
        <xdr:cNvPicPr>
          <a:picLocks noChangeAspect="1" noChangeArrowheads="1"/>
        </xdr:cNvPicPr>
      </xdr:nvPicPr>
      <xdr:blipFill>
        <a:blip xmlns:r="http://schemas.openxmlformats.org/officeDocument/2006/relationships" r:embed="rId2"/>
        <a:srcRect l="4832" t="12760" b="12630"/>
        <a:stretch>
          <a:fillRect/>
        </a:stretch>
      </xdr:blipFill>
      <xdr:spPr bwMode="auto">
        <a:xfrm>
          <a:off x="0" y="0"/>
          <a:ext cx="12382500" cy="545782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No.4:NZDUSD</a:t>
          </a:r>
        </a:p>
        <a:p>
          <a:r>
            <a:rPr kumimoji="1" lang="ja-JP" altLang="en-US" sz="1100"/>
            <a:t>相場認識</a:t>
          </a:r>
        </a:p>
      </xdr:txBody>
    </xdr:sp>
    <xdr:clientData/>
  </xdr:twoCellAnchor>
  <xdr:twoCellAnchor>
    <xdr:from>
      <xdr:col>2</xdr:col>
      <xdr:colOff>409576</xdr:colOff>
      <xdr:row>10</xdr:row>
      <xdr:rowOff>152400</xdr:rowOff>
    </xdr:from>
    <xdr:to>
      <xdr:col>2</xdr:col>
      <xdr:colOff>419101</xdr:colOff>
      <xdr:row>14</xdr:row>
      <xdr:rowOff>95250</xdr:rowOff>
    </xdr:to>
    <xdr:cxnSp macro="">
      <xdr:nvCxnSpPr>
        <xdr:cNvPr id="5" name="直線矢印コネクタ 4"/>
        <xdr:cNvCxnSpPr/>
      </xdr:nvCxnSpPr>
      <xdr:spPr>
        <a:xfrm rot="16200000" flipV="1">
          <a:off x="1471614" y="217646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619126</xdr:colOff>
      <xdr:row>10</xdr:row>
      <xdr:rowOff>161923</xdr:rowOff>
    </xdr:from>
    <xdr:to>
      <xdr:col>15</xdr:col>
      <xdr:colOff>628651</xdr:colOff>
      <xdr:row>14</xdr:row>
      <xdr:rowOff>104773</xdr:rowOff>
    </xdr:to>
    <xdr:cxnSp macro="">
      <xdr:nvCxnSpPr>
        <xdr:cNvPr id="6" name="直線矢印コネクタ 5"/>
        <xdr:cNvCxnSpPr/>
      </xdr:nvCxnSpPr>
      <xdr:spPr>
        <a:xfrm rot="16200000" flipV="1">
          <a:off x="10596564" y="2185985"/>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7" name="テキスト ボックス 6"/>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週足で弱めの</a:t>
          </a:r>
          <a:r>
            <a:rPr kumimoji="1" lang="en-US" altLang="ja-JP" sz="1100"/>
            <a:t>S/R</a:t>
          </a:r>
          <a:r>
            <a:rPr kumimoji="1" lang="ja-JP" altLang="en-US" sz="1100"/>
            <a:t>に当たっている＆</a:t>
          </a:r>
          <a:r>
            <a:rPr kumimoji="1" lang="en-US" altLang="ja-JP" sz="1100"/>
            <a:t>FIB23.6</a:t>
          </a:r>
          <a:r>
            <a:rPr kumimoji="1" lang="ja-JP" altLang="en-US" sz="1100"/>
            <a:t>のラインも近い</a:t>
          </a:r>
        </a:p>
      </xdr:txBody>
    </xdr:sp>
    <xdr:clientData/>
  </xdr:twoCellAnchor>
  <xdr:twoCellAnchor>
    <xdr:from>
      <xdr:col>0</xdr:col>
      <xdr:colOff>95250</xdr:colOff>
      <xdr:row>33</xdr:row>
      <xdr:rowOff>161925</xdr:rowOff>
    </xdr:from>
    <xdr:to>
      <xdr:col>2</xdr:col>
      <xdr:colOff>95250</xdr:colOff>
      <xdr:row>36</xdr:row>
      <xdr:rowOff>161925</xdr:rowOff>
    </xdr:to>
    <xdr:sp macro="" textlink="">
      <xdr:nvSpPr>
        <xdr:cNvPr id="9" name="テキスト ボックス 8"/>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足で笹田ｗボトムと認識。</a:t>
          </a:r>
          <a:endParaRPr kumimoji="1" lang="en-US" altLang="ja-JP" sz="1100"/>
        </a:p>
      </xdr:txBody>
    </xdr:sp>
    <xdr:clientData/>
  </xdr:twoCellAnchor>
  <xdr:twoCellAnchor>
    <xdr:from>
      <xdr:col>8</xdr:col>
      <xdr:colOff>190502</xdr:colOff>
      <xdr:row>50</xdr:row>
      <xdr:rowOff>123827</xdr:rowOff>
    </xdr:from>
    <xdr:to>
      <xdr:col>9</xdr:col>
      <xdr:colOff>295275</xdr:colOff>
      <xdr:row>52</xdr:row>
      <xdr:rowOff>104775</xdr:rowOff>
    </xdr:to>
    <xdr:cxnSp macro="">
      <xdr:nvCxnSpPr>
        <xdr:cNvPr id="12" name="直線矢印コネクタ 11"/>
        <xdr:cNvCxnSpPr/>
      </xdr:nvCxnSpPr>
      <xdr:spPr>
        <a:xfrm>
          <a:off x="5676902" y="8696327"/>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409577</xdr:colOff>
      <xdr:row>58</xdr:row>
      <xdr:rowOff>85725</xdr:rowOff>
    </xdr:from>
    <xdr:to>
      <xdr:col>9</xdr:col>
      <xdr:colOff>485775</xdr:colOff>
      <xdr:row>59</xdr:row>
      <xdr:rowOff>104777</xdr:rowOff>
    </xdr:to>
    <xdr:cxnSp macro="">
      <xdr:nvCxnSpPr>
        <xdr:cNvPr id="13" name="直線矢印コネクタ 12"/>
        <xdr:cNvCxnSpPr/>
      </xdr:nvCxnSpPr>
      <xdr:spPr>
        <a:xfrm flipV="1">
          <a:off x="5895977" y="1002982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51</xdr:row>
      <xdr:rowOff>76200</xdr:rowOff>
    </xdr:from>
    <xdr:to>
      <xdr:col>10</xdr:col>
      <xdr:colOff>361950</xdr:colOff>
      <xdr:row>53</xdr:row>
      <xdr:rowOff>95250</xdr:rowOff>
    </xdr:to>
    <xdr:sp macro="" textlink="">
      <xdr:nvSpPr>
        <xdr:cNvPr id="16" name="角丸四角形吹き出し 15"/>
        <xdr:cNvSpPr/>
      </xdr:nvSpPr>
      <xdr:spPr>
        <a:xfrm>
          <a:off x="6553200" y="8820150"/>
          <a:ext cx="666750" cy="361950"/>
        </a:xfrm>
        <a:prstGeom prst="wedgeRoundRectCallout">
          <a:avLst>
            <a:gd name="adj1" fmla="val -42093"/>
            <a:gd name="adj2" fmla="val -884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twoCellAnchor>
    <xdr:from>
      <xdr:col>0</xdr:col>
      <xdr:colOff>76200</xdr:colOff>
      <xdr:row>11</xdr:row>
      <xdr:rowOff>161925</xdr:rowOff>
    </xdr:from>
    <xdr:to>
      <xdr:col>2</xdr:col>
      <xdr:colOff>323850</xdr:colOff>
      <xdr:row>15</xdr:row>
      <xdr:rowOff>66675</xdr:rowOff>
    </xdr:to>
    <xdr:sp macro="" textlink="">
      <xdr:nvSpPr>
        <xdr:cNvPr id="18" name="テキスト ボックス 17"/>
        <xdr:cNvSpPr txBox="1"/>
      </xdr:nvSpPr>
      <xdr:spPr>
        <a:xfrm>
          <a:off x="76200" y="20478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日足レベルのチャネルをブレイク⇒戻りを作りそう</a:t>
          </a:r>
        </a:p>
      </xdr:txBody>
    </xdr:sp>
    <xdr:clientData/>
  </xdr:twoCellAnchor>
  <xdr:twoCellAnchor>
    <xdr:from>
      <xdr:col>8</xdr:col>
      <xdr:colOff>581025</xdr:colOff>
      <xdr:row>43</xdr:row>
      <xdr:rowOff>47625</xdr:rowOff>
    </xdr:from>
    <xdr:to>
      <xdr:col>9</xdr:col>
      <xdr:colOff>561975</xdr:colOff>
      <xdr:row>45</xdr:row>
      <xdr:rowOff>66675</xdr:rowOff>
    </xdr:to>
    <xdr:sp macro="" textlink="">
      <xdr:nvSpPr>
        <xdr:cNvPr id="20" name="角丸四角形吹き出し 19"/>
        <xdr:cNvSpPr/>
      </xdr:nvSpPr>
      <xdr:spPr>
        <a:xfrm>
          <a:off x="6067425" y="7419975"/>
          <a:ext cx="666750" cy="361950"/>
        </a:xfrm>
        <a:prstGeom prst="wedgeRoundRectCallout">
          <a:avLst>
            <a:gd name="adj1" fmla="val 53622"/>
            <a:gd name="adj2" fmla="val 1457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0</xdr:col>
      <xdr:colOff>114300</xdr:colOff>
      <xdr:row>46</xdr:row>
      <xdr:rowOff>85725</xdr:rowOff>
    </xdr:from>
    <xdr:to>
      <xdr:col>2</xdr:col>
      <xdr:colOff>285750</xdr:colOff>
      <xdr:row>50</xdr:row>
      <xdr:rowOff>66675</xdr:rowOff>
    </xdr:to>
    <xdr:sp macro="" textlink="">
      <xdr:nvSpPr>
        <xdr:cNvPr id="21" name="テキスト ボックス 20"/>
        <xdr:cNvSpPr txBox="1"/>
      </xdr:nvSpPr>
      <xdr:spPr>
        <a:xfrm>
          <a:off x="114300" y="7972425"/>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週足ﾚﾍﾞﾙの</a:t>
          </a:r>
          <a:r>
            <a:rPr kumimoji="1" lang="en-US" altLang="ja-JP" sz="1100"/>
            <a:t>S/R</a:t>
          </a:r>
          <a:r>
            <a:rPr kumimoji="1" lang="ja-JP" altLang="en-US" sz="1100"/>
            <a:t>で</a:t>
          </a:r>
          <a:endParaRPr kumimoji="1" lang="en-US" altLang="ja-JP" sz="1100"/>
        </a:p>
        <a:p>
          <a:r>
            <a:rPr kumimoji="1" lang="en-US" altLang="ja-JP" sz="1100"/>
            <a:t>-61.8</a:t>
          </a:r>
          <a:r>
            <a:rPr kumimoji="1" lang="ja-JP" altLang="en-US" sz="1100"/>
            <a:t>までは上がると判断　→無事利確</a:t>
          </a:r>
        </a:p>
      </xdr:txBody>
    </xdr:sp>
    <xdr:clientData/>
  </xdr:twoCellAnchor>
  <xdr:twoCellAnchor>
    <xdr:from>
      <xdr:col>0</xdr:col>
      <xdr:colOff>104775</xdr:colOff>
      <xdr:row>37</xdr:row>
      <xdr:rowOff>95250</xdr:rowOff>
    </xdr:from>
    <xdr:to>
      <xdr:col>2</xdr:col>
      <xdr:colOff>276225</xdr:colOff>
      <xdr:row>41</xdr:row>
      <xdr:rowOff>76200</xdr:rowOff>
    </xdr:to>
    <xdr:sp macro="" textlink="">
      <xdr:nvSpPr>
        <xdr:cNvPr id="22" name="テキスト ボックス 21"/>
        <xdr:cNvSpPr txBox="1"/>
      </xdr:nvSpPr>
      <xdr:spPr>
        <a:xfrm>
          <a:off x="104775" y="643890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この相場に気づいた時はネックラインブレイク後の戻り中だった</a:t>
          </a:r>
        </a:p>
      </xdr:txBody>
    </xdr:sp>
    <xdr:clientData/>
  </xdr:twoCellAnchor>
  <xdr:twoCellAnchor>
    <xdr:from>
      <xdr:col>0</xdr:col>
      <xdr:colOff>104775</xdr:colOff>
      <xdr:row>41</xdr:row>
      <xdr:rowOff>152400</xdr:rowOff>
    </xdr:from>
    <xdr:to>
      <xdr:col>2</xdr:col>
      <xdr:colOff>276225</xdr:colOff>
      <xdr:row>45</xdr:row>
      <xdr:rowOff>133350</xdr:rowOff>
    </xdr:to>
    <xdr:sp macro="" textlink="">
      <xdr:nvSpPr>
        <xdr:cNvPr id="23" name="テキスト ボックス 22"/>
        <xdr:cNvSpPr txBox="1"/>
      </xdr:nvSpPr>
      <xdr:spPr>
        <a:xfrm>
          <a:off x="104775" y="718185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一度ブレイクしてる為、５分足で３８．２を割った十字上抜きで</a:t>
          </a:r>
          <a:r>
            <a:rPr kumimoji="1" lang="en-US" altLang="ja-JP" sz="1100"/>
            <a:t>IN</a:t>
          </a: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38100</xdr:colOff>
      <xdr:row>64</xdr:row>
      <xdr:rowOff>76200</xdr:rowOff>
    </xdr:to>
    <xdr:pic>
      <xdr:nvPicPr>
        <xdr:cNvPr id="10242" name="Picture 2"/>
        <xdr:cNvPicPr>
          <a:picLocks noChangeAspect="1" noChangeArrowheads="1"/>
        </xdr:cNvPicPr>
      </xdr:nvPicPr>
      <xdr:blipFill>
        <a:blip xmlns:r="http://schemas.openxmlformats.org/officeDocument/2006/relationships" r:embed="rId1"/>
        <a:srcRect l="4832" t="12760" b="12891"/>
        <a:stretch>
          <a:fillRect/>
        </a:stretch>
      </xdr:blipFill>
      <xdr:spPr bwMode="auto">
        <a:xfrm>
          <a:off x="0" y="5610225"/>
          <a:ext cx="1238250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123825</xdr:rowOff>
    </xdr:to>
    <xdr:pic>
      <xdr:nvPicPr>
        <xdr:cNvPr id="10241" name="Picture 1"/>
        <xdr:cNvPicPr>
          <a:picLocks noChangeAspect="1" noChangeArrowheads="1"/>
        </xdr:cNvPicPr>
      </xdr:nvPicPr>
      <xdr:blipFill>
        <a:blip xmlns:r="http://schemas.openxmlformats.org/officeDocument/2006/relationships" r:embed="rId2"/>
        <a:srcRect l="4832" t="12760" b="12891"/>
        <a:stretch>
          <a:fillRect/>
        </a:stretch>
      </xdr:blipFill>
      <xdr:spPr bwMode="auto">
        <a:xfrm>
          <a:off x="0" y="0"/>
          <a:ext cx="12382500" cy="54387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No.3:CADJPY</a:t>
          </a:r>
        </a:p>
        <a:p>
          <a:r>
            <a:rPr kumimoji="1" lang="ja-JP" altLang="en-US" sz="1100"/>
            <a:t>相場認識</a:t>
          </a:r>
        </a:p>
      </xdr:txBody>
    </xdr:sp>
    <xdr:clientData/>
  </xdr:twoCellAnchor>
  <xdr:twoCellAnchor>
    <xdr:from>
      <xdr:col>8</xdr:col>
      <xdr:colOff>447675</xdr:colOff>
      <xdr:row>11</xdr:row>
      <xdr:rowOff>115094</xdr:rowOff>
    </xdr:from>
    <xdr:to>
      <xdr:col>8</xdr:col>
      <xdr:colOff>448469</xdr:colOff>
      <xdr:row>14</xdr:row>
      <xdr:rowOff>95250</xdr:rowOff>
    </xdr:to>
    <xdr:cxnSp macro="">
      <xdr:nvCxnSpPr>
        <xdr:cNvPr id="4" name="直線矢印コネクタ 3"/>
        <xdr:cNvCxnSpPr/>
      </xdr:nvCxnSpPr>
      <xdr:spPr>
        <a:xfrm rot="5400000">
          <a:off x="5687219" y="22479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571501</xdr:colOff>
      <xdr:row>14</xdr:row>
      <xdr:rowOff>152400</xdr:rowOff>
    </xdr:from>
    <xdr:to>
      <xdr:col>4</xdr:col>
      <xdr:colOff>581026</xdr:colOff>
      <xdr:row>18</xdr:row>
      <xdr:rowOff>95250</xdr:rowOff>
    </xdr:to>
    <xdr:cxnSp macro="">
      <xdr:nvCxnSpPr>
        <xdr:cNvPr id="5" name="直線矢印コネクタ 4"/>
        <xdr:cNvCxnSpPr/>
      </xdr:nvCxnSpPr>
      <xdr:spPr>
        <a:xfrm rot="16200000" flipV="1">
          <a:off x="3005139" y="286226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619126</xdr:colOff>
      <xdr:row>14</xdr:row>
      <xdr:rowOff>142874</xdr:rowOff>
    </xdr:from>
    <xdr:to>
      <xdr:col>13</xdr:col>
      <xdr:colOff>628651</xdr:colOff>
      <xdr:row>18</xdr:row>
      <xdr:rowOff>85724</xdr:rowOff>
    </xdr:to>
    <xdr:cxnSp macro="">
      <xdr:nvCxnSpPr>
        <xdr:cNvPr id="6" name="直線矢印コネクタ 5"/>
        <xdr:cNvCxnSpPr/>
      </xdr:nvCxnSpPr>
      <xdr:spPr>
        <a:xfrm rot="16200000" flipV="1">
          <a:off x="9224964" y="2852736"/>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104774</xdr:rowOff>
    </xdr:from>
    <xdr:to>
      <xdr:col>2</xdr:col>
      <xdr:colOff>428625</xdr:colOff>
      <xdr:row>10</xdr:row>
      <xdr:rowOff>66675</xdr:rowOff>
    </xdr:to>
    <xdr:sp macro="" textlink="">
      <xdr:nvSpPr>
        <xdr:cNvPr id="7" name="テキスト ボックス 6"/>
        <xdr:cNvSpPr txBox="1"/>
      </xdr:nvSpPr>
      <xdr:spPr>
        <a:xfrm>
          <a:off x="123825" y="790574"/>
          <a:ext cx="1676400" cy="99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FIB23.6</a:t>
          </a:r>
          <a:r>
            <a:rPr kumimoji="1" lang="ja-JP" altLang="en-US" sz="1100"/>
            <a:t>のラインがほぼ重なっている。</a:t>
          </a:r>
          <a:endParaRPr kumimoji="1" lang="en-US" altLang="ja-JP" sz="1100"/>
        </a:p>
        <a:p>
          <a:r>
            <a:rPr kumimoji="1" lang="ja-JP" altLang="en-US" sz="1100"/>
            <a:t>日足ではチャネルに支えられているようにも見えた。</a:t>
          </a:r>
        </a:p>
      </xdr:txBody>
    </xdr:sp>
    <xdr:clientData/>
  </xdr:twoCellAnchor>
  <xdr:twoCellAnchor>
    <xdr:from>
      <xdr:col>0</xdr:col>
      <xdr:colOff>95250</xdr:colOff>
      <xdr:row>33</xdr:row>
      <xdr:rowOff>161924</xdr:rowOff>
    </xdr:from>
    <xdr:to>
      <xdr:col>2</xdr:col>
      <xdr:colOff>95250</xdr:colOff>
      <xdr:row>37</xdr:row>
      <xdr:rowOff>85725</xdr:rowOff>
    </xdr:to>
    <xdr:sp macro="" textlink="">
      <xdr:nvSpPr>
        <xdr:cNvPr id="9" name="テキスト ボックス 8"/>
        <xdr:cNvSpPr txBox="1"/>
      </xdr:nvSpPr>
      <xdr:spPr>
        <a:xfrm>
          <a:off x="95250" y="5819774"/>
          <a:ext cx="1371600" cy="609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足で笹田ｗボトムと認識。（１ｈ足より</a:t>
          </a:r>
          <a:r>
            <a:rPr kumimoji="1" lang="en-US" altLang="ja-JP" sz="1100"/>
            <a:t>D/J</a:t>
          </a:r>
          <a:r>
            <a:rPr kumimoji="1" lang="ja-JP" altLang="en-US" sz="1100"/>
            <a:t>がきれい）</a:t>
          </a:r>
          <a:endParaRPr kumimoji="1" lang="en-US" altLang="ja-JP" sz="1100"/>
        </a:p>
        <a:p>
          <a:endParaRPr kumimoji="1" lang="ja-JP" altLang="en-US" sz="1100"/>
        </a:p>
      </xdr:txBody>
    </xdr:sp>
    <xdr:clientData/>
  </xdr:twoCellAnchor>
  <xdr:twoCellAnchor>
    <xdr:from>
      <xdr:col>0</xdr:col>
      <xdr:colOff>104775</xdr:colOff>
      <xdr:row>38</xdr:row>
      <xdr:rowOff>0</xdr:rowOff>
    </xdr:from>
    <xdr:to>
      <xdr:col>2</xdr:col>
      <xdr:colOff>276225</xdr:colOff>
      <xdr:row>41</xdr:row>
      <xdr:rowOff>152400</xdr:rowOff>
    </xdr:to>
    <xdr:sp macro="" textlink="">
      <xdr:nvSpPr>
        <xdr:cNvPr id="10" name="テキスト ボックス 9"/>
        <xdr:cNvSpPr txBox="1"/>
      </xdr:nvSpPr>
      <xdr:spPr>
        <a:xfrm>
          <a:off x="104775" y="6515100"/>
          <a:ext cx="154305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週足ﾚﾍﾞﾙの</a:t>
          </a:r>
          <a:r>
            <a:rPr kumimoji="1" lang="en-US" altLang="ja-JP" sz="1100"/>
            <a:t>S/R</a:t>
          </a:r>
          <a:r>
            <a:rPr kumimoji="1" lang="ja-JP" altLang="en-US" sz="1100"/>
            <a:t>で</a:t>
          </a:r>
          <a:endParaRPr kumimoji="1" lang="en-US" altLang="ja-JP" sz="1100"/>
        </a:p>
        <a:p>
          <a:r>
            <a:rPr kumimoji="1" lang="en-US" altLang="ja-JP" sz="1100"/>
            <a:t>-61.8</a:t>
          </a:r>
          <a:r>
            <a:rPr kumimoji="1" lang="ja-JP" altLang="en-US" sz="1100"/>
            <a:t>までは上がると判断して</a:t>
          </a:r>
          <a:r>
            <a:rPr kumimoji="1" lang="en-US" altLang="ja-JP" sz="1100"/>
            <a:t>IN</a:t>
          </a:r>
          <a:r>
            <a:rPr kumimoji="1" lang="ja-JP" altLang="en-US" sz="1100"/>
            <a:t>　→無事利確</a:t>
          </a:r>
        </a:p>
      </xdr:txBody>
    </xdr:sp>
    <xdr:clientData/>
  </xdr:twoCellAnchor>
  <xdr:twoCellAnchor>
    <xdr:from>
      <xdr:col>11</xdr:col>
      <xdr:colOff>133352</xdr:colOff>
      <xdr:row>49</xdr:row>
      <xdr:rowOff>57152</xdr:rowOff>
    </xdr:from>
    <xdr:to>
      <xdr:col>12</xdr:col>
      <xdr:colOff>238125</xdr:colOff>
      <xdr:row>51</xdr:row>
      <xdr:rowOff>38100</xdr:rowOff>
    </xdr:to>
    <xdr:cxnSp macro="">
      <xdr:nvCxnSpPr>
        <xdr:cNvPr id="12" name="直線矢印コネクタ 11"/>
        <xdr:cNvCxnSpPr/>
      </xdr:nvCxnSpPr>
      <xdr:spPr>
        <a:xfrm>
          <a:off x="7677152" y="8458202"/>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295277</xdr:colOff>
      <xdr:row>58</xdr:row>
      <xdr:rowOff>123825</xdr:rowOff>
    </xdr:from>
    <xdr:to>
      <xdr:col>12</xdr:col>
      <xdr:colOff>371475</xdr:colOff>
      <xdr:row>59</xdr:row>
      <xdr:rowOff>142877</xdr:rowOff>
    </xdr:to>
    <xdr:cxnSp macro="">
      <xdr:nvCxnSpPr>
        <xdr:cNvPr id="13" name="直線矢印コネクタ 12"/>
        <xdr:cNvCxnSpPr/>
      </xdr:nvCxnSpPr>
      <xdr:spPr>
        <a:xfrm flipV="1">
          <a:off x="7839077" y="10067925"/>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76200</xdr:colOff>
      <xdr:row>39</xdr:row>
      <xdr:rowOff>152400</xdr:rowOff>
    </xdr:from>
    <xdr:to>
      <xdr:col>13</xdr:col>
      <xdr:colOff>95250</xdr:colOff>
      <xdr:row>42</xdr:row>
      <xdr:rowOff>0</xdr:rowOff>
    </xdr:to>
    <xdr:sp macro="" textlink="">
      <xdr:nvSpPr>
        <xdr:cNvPr id="16" name="角丸四角形吹き出し 15"/>
        <xdr:cNvSpPr/>
      </xdr:nvSpPr>
      <xdr:spPr>
        <a:xfrm>
          <a:off x="8305800" y="6838950"/>
          <a:ext cx="704850" cy="361950"/>
        </a:xfrm>
        <a:prstGeom prst="wedgeRoundRectCallout">
          <a:avLst>
            <a:gd name="adj1" fmla="val 30148"/>
            <a:gd name="adj2" fmla="val 1420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11</xdr:col>
      <xdr:colOff>390524</xdr:colOff>
      <xdr:row>43</xdr:row>
      <xdr:rowOff>85725</xdr:rowOff>
    </xdr:from>
    <xdr:to>
      <xdr:col>12</xdr:col>
      <xdr:colOff>266699</xdr:colOff>
      <xdr:row>45</xdr:row>
      <xdr:rowOff>47625</xdr:rowOff>
    </xdr:to>
    <xdr:sp macro="" textlink="">
      <xdr:nvSpPr>
        <xdr:cNvPr id="19" name="角丸四角形吹き出し 18"/>
        <xdr:cNvSpPr/>
      </xdr:nvSpPr>
      <xdr:spPr>
        <a:xfrm>
          <a:off x="7934324" y="7458075"/>
          <a:ext cx="561975" cy="304800"/>
        </a:xfrm>
        <a:prstGeom prst="wedgeRoundRectCallout">
          <a:avLst>
            <a:gd name="adj1" fmla="val 55824"/>
            <a:gd name="adj2" fmla="val 1105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IN</a:t>
          </a: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28575</xdr:colOff>
      <xdr:row>31</xdr:row>
      <xdr:rowOff>47625</xdr:rowOff>
    </xdr:to>
    <xdr:pic>
      <xdr:nvPicPr>
        <xdr:cNvPr id="11265" name="Picture 1"/>
        <xdr:cNvPicPr>
          <a:picLocks noChangeAspect="1" noChangeArrowheads="1"/>
        </xdr:cNvPicPr>
      </xdr:nvPicPr>
      <xdr:blipFill>
        <a:blip xmlns:r="http://schemas.openxmlformats.org/officeDocument/2006/relationships" r:embed="rId1"/>
        <a:srcRect l="4905" t="12891" b="13802"/>
        <a:stretch>
          <a:fillRect/>
        </a:stretch>
      </xdr:blipFill>
      <xdr:spPr bwMode="auto">
        <a:xfrm>
          <a:off x="0" y="0"/>
          <a:ext cx="12372975" cy="5362575"/>
        </a:xfrm>
        <a:prstGeom prst="rect">
          <a:avLst/>
        </a:prstGeom>
        <a:noFill/>
        <a:ln w="1">
          <a:noFill/>
          <a:miter lim="800000"/>
          <a:headEnd/>
          <a:tailEnd type="none" w="med" len="med"/>
        </a:ln>
        <a:effectLst/>
      </xdr:spPr>
    </xdr:pic>
    <xdr:clientData/>
  </xdr:twoCellAnchor>
  <xdr:twoCellAnchor>
    <xdr:from>
      <xdr:col>0</xdr:col>
      <xdr:colOff>104775</xdr:colOff>
      <xdr:row>1</xdr:row>
      <xdr:rowOff>19050</xdr:rowOff>
    </xdr:from>
    <xdr:to>
      <xdr:col>1</xdr:col>
      <xdr:colOff>428625</xdr:colOff>
      <xdr:row>4</xdr:row>
      <xdr:rowOff>0</xdr:rowOff>
    </xdr:to>
    <xdr:sp macro="" textlink="">
      <xdr:nvSpPr>
        <xdr:cNvPr id="3" name="テキスト ボックス 2"/>
        <xdr:cNvSpPr txBox="1"/>
      </xdr:nvSpPr>
      <xdr:spPr>
        <a:xfrm>
          <a:off x="104775" y="190500"/>
          <a:ext cx="10096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No.1:USDJPY</a:t>
          </a:r>
        </a:p>
        <a:p>
          <a:r>
            <a:rPr kumimoji="1" lang="ja-JP" altLang="en-US" sz="1100"/>
            <a:t>相場認識</a:t>
          </a:r>
        </a:p>
      </xdr:txBody>
    </xdr:sp>
    <xdr:clientData/>
  </xdr:twoCellAnchor>
  <xdr:twoCellAnchor>
    <xdr:from>
      <xdr:col>7</xdr:col>
      <xdr:colOff>38100</xdr:colOff>
      <xdr:row>5</xdr:row>
      <xdr:rowOff>10319</xdr:rowOff>
    </xdr:from>
    <xdr:to>
      <xdr:col>7</xdr:col>
      <xdr:colOff>38894</xdr:colOff>
      <xdr:row>7</xdr:row>
      <xdr:rowOff>161925</xdr:rowOff>
    </xdr:to>
    <xdr:cxnSp macro="">
      <xdr:nvCxnSpPr>
        <xdr:cNvPr id="5" name="直線矢印コネクタ 4"/>
        <xdr:cNvCxnSpPr/>
      </xdr:nvCxnSpPr>
      <xdr:spPr>
        <a:xfrm rot="5400000">
          <a:off x="4591844" y="1114425"/>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219076</xdr:colOff>
      <xdr:row>8</xdr:row>
      <xdr:rowOff>95250</xdr:rowOff>
    </xdr:from>
    <xdr:to>
      <xdr:col>9</xdr:col>
      <xdr:colOff>228601</xdr:colOff>
      <xdr:row>12</xdr:row>
      <xdr:rowOff>38100</xdr:rowOff>
    </xdr:to>
    <xdr:cxnSp macro="">
      <xdr:nvCxnSpPr>
        <xdr:cNvPr id="7" name="直線矢印コネクタ 6"/>
        <xdr:cNvCxnSpPr/>
      </xdr:nvCxnSpPr>
      <xdr:spPr>
        <a:xfrm rot="16200000" flipV="1">
          <a:off x="6081714" y="1776412"/>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571501</xdr:colOff>
      <xdr:row>8</xdr:row>
      <xdr:rowOff>57149</xdr:rowOff>
    </xdr:from>
    <xdr:to>
      <xdr:col>13</xdr:col>
      <xdr:colOff>581026</xdr:colOff>
      <xdr:row>11</xdr:row>
      <xdr:rowOff>171449</xdr:rowOff>
    </xdr:to>
    <xdr:cxnSp macro="">
      <xdr:nvCxnSpPr>
        <xdr:cNvPr id="9" name="直線矢印コネクタ 8"/>
        <xdr:cNvCxnSpPr/>
      </xdr:nvCxnSpPr>
      <xdr:spPr>
        <a:xfrm rot="16200000" flipV="1">
          <a:off x="9177339" y="1738311"/>
          <a:ext cx="628650" cy="9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xdr:row>
      <xdr:rowOff>104775</xdr:rowOff>
    </xdr:from>
    <xdr:to>
      <xdr:col>2</xdr:col>
      <xdr:colOff>371475</xdr:colOff>
      <xdr:row>8</xdr:row>
      <xdr:rowOff>9525</xdr:rowOff>
    </xdr:to>
    <xdr:sp macro="" textlink="">
      <xdr:nvSpPr>
        <xdr:cNvPr id="10" name="テキスト ボックス 9"/>
        <xdr:cNvSpPr txBox="1"/>
      </xdr:nvSpPr>
      <xdr:spPr>
        <a:xfrm>
          <a:off x="123825" y="790575"/>
          <a:ext cx="16192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r>
            <a:rPr kumimoji="1" lang="en-US" altLang="ja-JP" sz="1100"/>
            <a:t>FIB38.2</a:t>
          </a:r>
          <a:r>
            <a:rPr kumimoji="1" lang="ja-JP" altLang="en-US" sz="1100"/>
            <a:t>のラインも近い</a:t>
          </a:r>
        </a:p>
      </xdr:txBody>
    </xdr:sp>
    <xdr:clientData/>
  </xdr:twoCellAnchor>
  <xdr:twoCellAnchor editAs="oneCell">
    <xdr:from>
      <xdr:col>0</xdr:col>
      <xdr:colOff>0</xdr:colOff>
      <xdr:row>32</xdr:row>
      <xdr:rowOff>85725</xdr:rowOff>
    </xdr:from>
    <xdr:to>
      <xdr:col>18</xdr:col>
      <xdr:colOff>28575</xdr:colOff>
      <xdr:row>63</xdr:row>
      <xdr:rowOff>152400</xdr:rowOff>
    </xdr:to>
    <xdr:pic>
      <xdr:nvPicPr>
        <xdr:cNvPr id="11266" name="Picture 2"/>
        <xdr:cNvPicPr>
          <a:picLocks noChangeAspect="1" noChangeArrowheads="1"/>
        </xdr:cNvPicPr>
      </xdr:nvPicPr>
      <xdr:blipFill>
        <a:blip xmlns:r="http://schemas.openxmlformats.org/officeDocument/2006/relationships" r:embed="rId2"/>
        <a:srcRect l="4905" t="12500" b="13932"/>
        <a:stretch>
          <a:fillRect/>
        </a:stretch>
      </xdr:blipFill>
      <xdr:spPr bwMode="auto">
        <a:xfrm>
          <a:off x="0" y="5572125"/>
          <a:ext cx="12372975" cy="5381625"/>
        </a:xfrm>
        <a:prstGeom prst="rect">
          <a:avLst/>
        </a:prstGeom>
        <a:noFill/>
        <a:ln w="1">
          <a:noFill/>
          <a:miter lim="800000"/>
          <a:headEnd/>
          <a:tailEnd type="none" w="med" len="med"/>
        </a:ln>
        <a:effectLst/>
      </xdr:spPr>
    </xdr:pic>
    <xdr:clientData/>
  </xdr:twoCellAnchor>
  <xdr:twoCellAnchor>
    <xdr:from>
      <xdr:col>0</xdr:col>
      <xdr:colOff>95250</xdr:colOff>
      <xdr:row>33</xdr:row>
      <xdr:rowOff>161925</xdr:rowOff>
    </xdr:from>
    <xdr:to>
      <xdr:col>2</xdr:col>
      <xdr:colOff>95250</xdr:colOff>
      <xdr:row>36</xdr:row>
      <xdr:rowOff>161925</xdr:rowOff>
    </xdr:to>
    <xdr:sp macro="" textlink="">
      <xdr:nvSpPr>
        <xdr:cNvPr id="12" name="テキスト ボックス 11"/>
        <xdr:cNvSpPr txBox="1"/>
      </xdr:nvSpPr>
      <xdr:spPr>
        <a:xfrm>
          <a:off x="95250" y="5819775"/>
          <a:ext cx="137160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足で笹田ｗボトムと認識。</a:t>
          </a:r>
          <a:endParaRPr kumimoji="1" lang="en-US" altLang="ja-JP" sz="1100"/>
        </a:p>
        <a:p>
          <a:endParaRPr kumimoji="1" lang="ja-JP" altLang="en-US" sz="1100"/>
        </a:p>
      </xdr:txBody>
    </xdr:sp>
    <xdr:clientData/>
  </xdr:twoCellAnchor>
  <xdr:twoCellAnchor>
    <xdr:from>
      <xdr:col>0</xdr:col>
      <xdr:colOff>104775</xdr:colOff>
      <xdr:row>37</xdr:row>
      <xdr:rowOff>85725</xdr:rowOff>
    </xdr:from>
    <xdr:to>
      <xdr:col>2</xdr:col>
      <xdr:colOff>104775</xdr:colOff>
      <xdr:row>41</xdr:row>
      <xdr:rowOff>66675</xdr:rowOff>
    </xdr:to>
    <xdr:sp macro="" textlink="">
      <xdr:nvSpPr>
        <xdr:cNvPr id="13" name="テキスト ボックス 12"/>
        <xdr:cNvSpPr txBox="1"/>
      </xdr:nvSpPr>
      <xdr:spPr>
        <a:xfrm>
          <a:off x="104775" y="6429375"/>
          <a:ext cx="137160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-61.8</a:t>
          </a:r>
          <a:r>
            <a:rPr kumimoji="1" lang="ja-JP" altLang="en-US" sz="1100"/>
            <a:t>が</a:t>
          </a:r>
          <a:r>
            <a:rPr kumimoji="1" lang="en-US" altLang="ja-JP" sz="1100"/>
            <a:t>S/R</a:t>
          </a:r>
          <a:r>
            <a:rPr kumimoji="1" lang="ja-JP" altLang="en-US" sz="1100"/>
            <a:t>と重なっていて、ここまでは上がると判断して</a:t>
          </a:r>
          <a:r>
            <a:rPr kumimoji="1" lang="en-US" altLang="ja-JP" sz="1100"/>
            <a:t>IN</a:t>
          </a:r>
          <a:endParaRPr kumimoji="1" lang="ja-JP" altLang="en-US" sz="1100"/>
        </a:p>
      </xdr:txBody>
    </xdr:sp>
    <xdr:clientData/>
  </xdr:twoCellAnchor>
  <xdr:twoCellAnchor>
    <xdr:from>
      <xdr:col>0</xdr:col>
      <xdr:colOff>114300</xdr:colOff>
      <xdr:row>42</xdr:row>
      <xdr:rowOff>38100</xdr:rowOff>
    </xdr:from>
    <xdr:to>
      <xdr:col>2</xdr:col>
      <xdr:colOff>114300</xdr:colOff>
      <xdr:row>46</xdr:row>
      <xdr:rowOff>19050</xdr:rowOff>
    </xdr:to>
    <xdr:sp macro="" textlink="">
      <xdr:nvSpPr>
        <xdr:cNvPr id="14" name="テキスト ボックス 13"/>
        <xdr:cNvSpPr txBox="1"/>
      </xdr:nvSpPr>
      <xdr:spPr>
        <a:xfrm>
          <a:off x="114300" y="7239000"/>
          <a:ext cx="1371600"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ターゲット到達手前まで上げたが、そのままレンジに</a:t>
          </a:r>
          <a:r>
            <a:rPr kumimoji="1" lang="en-US" altLang="ja-JP" sz="1100"/>
            <a:t>…</a:t>
          </a:r>
          <a:endParaRPr kumimoji="1" lang="ja-JP" altLang="en-US" sz="1100"/>
        </a:p>
      </xdr:txBody>
    </xdr:sp>
    <xdr:clientData/>
  </xdr:twoCellAnchor>
  <xdr:twoCellAnchor>
    <xdr:from>
      <xdr:col>12</xdr:col>
      <xdr:colOff>28577</xdr:colOff>
      <xdr:row>50</xdr:row>
      <xdr:rowOff>66677</xdr:rowOff>
    </xdr:from>
    <xdr:to>
      <xdr:col>13</xdr:col>
      <xdr:colOff>133350</xdr:colOff>
      <xdr:row>52</xdr:row>
      <xdr:rowOff>47625</xdr:rowOff>
    </xdr:to>
    <xdr:cxnSp macro="">
      <xdr:nvCxnSpPr>
        <xdr:cNvPr id="15" name="直線矢印コネクタ 14"/>
        <xdr:cNvCxnSpPr/>
      </xdr:nvCxnSpPr>
      <xdr:spPr>
        <a:xfrm>
          <a:off x="8258177" y="8639177"/>
          <a:ext cx="790573" cy="32384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161927</xdr:colOff>
      <xdr:row>58</xdr:row>
      <xdr:rowOff>19050</xdr:rowOff>
    </xdr:from>
    <xdr:to>
      <xdr:col>13</xdr:col>
      <xdr:colOff>238125</xdr:colOff>
      <xdr:row>59</xdr:row>
      <xdr:rowOff>38102</xdr:rowOff>
    </xdr:to>
    <xdr:cxnSp macro="">
      <xdr:nvCxnSpPr>
        <xdr:cNvPr id="17" name="直線矢印コネクタ 16"/>
        <xdr:cNvCxnSpPr/>
      </xdr:nvCxnSpPr>
      <xdr:spPr>
        <a:xfrm flipV="1">
          <a:off x="8391527" y="9963150"/>
          <a:ext cx="761998" cy="19050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64</xdr:row>
      <xdr:rowOff>161925</xdr:rowOff>
    </xdr:from>
    <xdr:to>
      <xdr:col>18</xdr:col>
      <xdr:colOff>47625</xdr:colOff>
      <xdr:row>93</xdr:row>
      <xdr:rowOff>152400</xdr:rowOff>
    </xdr:to>
    <xdr:pic>
      <xdr:nvPicPr>
        <xdr:cNvPr id="11267" name="Picture 3"/>
        <xdr:cNvPicPr>
          <a:picLocks noChangeAspect="1" noChangeArrowheads="1"/>
        </xdr:cNvPicPr>
      </xdr:nvPicPr>
      <xdr:blipFill>
        <a:blip xmlns:r="http://schemas.openxmlformats.org/officeDocument/2006/relationships" r:embed="rId3"/>
        <a:srcRect l="4758" t="12857" b="12714"/>
        <a:stretch>
          <a:fillRect/>
        </a:stretch>
      </xdr:blipFill>
      <xdr:spPr bwMode="auto">
        <a:xfrm>
          <a:off x="0" y="11134725"/>
          <a:ext cx="12392025" cy="4962525"/>
        </a:xfrm>
        <a:prstGeom prst="rect">
          <a:avLst/>
        </a:prstGeom>
        <a:noFill/>
        <a:ln w="1">
          <a:noFill/>
          <a:miter lim="800000"/>
          <a:headEnd/>
          <a:tailEnd type="none" w="med" len="med"/>
        </a:ln>
        <a:effectLst/>
      </xdr:spPr>
    </xdr:pic>
    <xdr:clientData/>
  </xdr:twoCellAnchor>
  <xdr:twoCellAnchor>
    <xdr:from>
      <xdr:col>0</xdr:col>
      <xdr:colOff>114300</xdr:colOff>
      <xdr:row>66</xdr:row>
      <xdr:rowOff>19050</xdr:rowOff>
    </xdr:from>
    <xdr:to>
      <xdr:col>2</xdr:col>
      <xdr:colOff>114300</xdr:colOff>
      <xdr:row>71</xdr:row>
      <xdr:rowOff>85726</xdr:rowOff>
    </xdr:to>
    <xdr:sp macro="" textlink="">
      <xdr:nvSpPr>
        <xdr:cNvPr id="20" name="テキスト ボックス 19"/>
        <xdr:cNvSpPr txBox="1"/>
      </xdr:nvSpPr>
      <xdr:spPr>
        <a:xfrm>
          <a:off x="114300" y="11334750"/>
          <a:ext cx="1371600" cy="92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☆３の指標発表が控えていた為、決済覚悟でストップ移動</a:t>
          </a:r>
          <a:endParaRPr kumimoji="1" lang="en-US" altLang="ja-JP" sz="1100"/>
        </a:p>
        <a:p>
          <a:r>
            <a:rPr kumimoji="1" lang="ja-JP" altLang="en-US" sz="1100"/>
            <a:t>⇒数時間後に決済</a:t>
          </a:r>
        </a:p>
      </xdr:txBody>
    </xdr:sp>
    <xdr:clientData/>
  </xdr:twoCellAnchor>
  <xdr:twoCellAnchor>
    <xdr:from>
      <xdr:col>10</xdr:col>
      <xdr:colOff>9525</xdr:colOff>
      <xdr:row>72</xdr:row>
      <xdr:rowOff>0</xdr:rowOff>
    </xdr:from>
    <xdr:to>
      <xdr:col>11</xdr:col>
      <xdr:colOff>295275</xdr:colOff>
      <xdr:row>74</xdr:row>
      <xdr:rowOff>123825</xdr:rowOff>
    </xdr:to>
    <xdr:sp macro="" textlink="">
      <xdr:nvSpPr>
        <xdr:cNvPr id="21" name="角丸四角形吹き出し 20"/>
        <xdr:cNvSpPr/>
      </xdr:nvSpPr>
      <xdr:spPr>
        <a:xfrm>
          <a:off x="6867525" y="12344400"/>
          <a:ext cx="971550" cy="466725"/>
        </a:xfrm>
        <a:prstGeom prst="wedgeRoundRectCallout">
          <a:avLst>
            <a:gd name="adj1" fmla="val 55638"/>
            <a:gd name="adj2" fmla="val -1579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ここで決済</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133350</xdr:rowOff>
    </xdr:to>
    <xdr:pic>
      <xdr:nvPicPr>
        <xdr:cNvPr id="12290" name="Picture 2"/>
        <xdr:cNvPicPr>
          <a:picLocks noChangeAspect="1" noChangeArrowheads="1"/>
        </xdr:cNvPicPr>
      </xdr:nvPicPr>
      <xdr:blipFill>
        <a:blip xmlns:r="http://schemas.openxmlformats.org/officeDocument/2006/relationships" r:embed="rId1"/>
        <a:srcRect l="4832" t="12891" b="12630"/>
        <a:stretch>
          <a:fillRect/>
        </a:stretch>
      </xdr:blipFill>
      <xdr:spPr bwMode="auto">
        <a:xfrm>
          <a:off x="0" y="0"/>
          <a:ext cx="12382500" cy="5448300"/>
        </a:xfrm>
        <a:prstGeom prst="rect">
          <a:avLst/>
        </a:prstGeom>
        <a:noFill/>
        <a:ln w="1">
          <a:noFill/>
          <a:miter lim="800000"/>
          <a:headEnd/>
          <a:tailEnd type="none" w="med" len="med"/>
        </a:ln>
        <a:effectLst/>
      </xdr:spPr>
    </xdr:pic>
    <xdr:clientData/>
  </xdr:twoCellAnchor>
  <xdr:twoCellAnchor>
    <xdr:from>
      <xdr:col>0</xdr:col>
      <xdr:colOff>114300</xdr:colOff>
      <xdr:row>1</xdr:row>
      <xdr:rowOff>57150</xdr:rowOff>
    </xdr:from>
    <xdr:to>
      <xdr:col>1</xdr:col>
      <xdr:colOff>428625</xdr:colOff>
      <xdr:row>4</xdr:row>
      <xdr:rowOff>38100</xdr:rowOff>
    </xdr:to>
    <xdr:sp macro="" textlink="">
      <xdr:nvSpPr>
        <xdr:cNvPr id="3" name="テキスト ボックス 2"/>
        <xdr:cNvSpPr txBox="1"/>
      </xdr:nvSpPr>
      <xdr:spPr>
        <a:xfrm>
          <a:off x="114300" y="228600"/>
          <a:ext cx="100012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No.2:EURAUD</a:t>
          </a:r>
        </a:p>
        <a:p>
          <a:r>
            <a:rPr kumimoji="1" lang="ja-JP" altLang="en-US" sz="1100"/>
            <a:t>相場認識</a:t>
          </a:r>
        </a:p>
      </xdr:txBody>
    </xdr:sp>
    <xdr:clientData/>
  </xdr:twoCellAnchor>
  <xdr:twoCellAnchor>
    <xdr:from>
      <xdr:col>10</xdr:col>
      <xdr:colOff>200025</xdr:colOff>
      <xdr:row>2</xdr:row>
      <xdr:rowOff>19844</xdr:rowOff>
    </xdr:from>
    <xdr:to>
      <xdr:col>10</xdr:col>
      <xdr:colOff>200819</xdr:colOff>
      <xdr:row>5</xdr:row>
      <xdr:rowOff>0</xdr:rowOff>
    </xdr:to>
    <xdr:cxnSp macro="">
      <xdr:nvCxnSpPr>
        <xdr:cNvPr id="4" name="直線矢印コネクタ 3"/>
        <xdr:cNvCxnSpPr/>
      </xdr:nvCxnSpPr>
      <xdr:spPr>
        <a:xfrm rot="5400000">
          <a:off x="6811169" y="6096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xdr:row>
      <xdr:rowOff>161925</xdr:rowOff>
    </xdr:from>
    <xdr:to>
      <xdr:col>2</xdr:col>
      <xdr:colOff>352425</xdr:colOff>
      <xdr:row>7</xdr:row>
      <xdr:rowOff>114300</xdr:rowOff>
    </xdr:to>
    <xdr:sp macro="" textlink="">
      <xdr:nvSpPr>
        <xdr:cNvPr id="5" name="テキスト ボックス 4"/>
        <xdr:cNvSpPr txBox="1"/>
      </xdr:nvSpPr>
      <xdr:spPr>
        <a:xfrm>
          <a:off x="104775" y="847725"/>
          <a:ext cx="161925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a:t>
          </a:r>
          <a:r>
            <a:rPr kumimoji="1" lang="en-US" altLang="ja-JP" sz="1100"/>
            <a:t>S/R</a:t>
          </a:r>
          <a:r>
            <a:rPr kumimoji="1" lang="ja-JP" altLang="en-US" sz="1100"/>
            <a:t>と</a:t>
          </a:r>
          <a:r>
            <a:rPr kumimoji="1" lang="en-US" altLang="ja-JP" sz="1100"/>
            <a:t>FIB23.6</a:t>
          </a:r>
          <a:r>
            <a:rPr kumimoji="1" lang="ja-JP" altLang="en-US" sz="1100"/>
            <a:t>が重なったラインに接触</a:t>
          </a:r>
        </a:p>
      </xdr:txBody>
    </xdr:sp>
    <xdr:clientData/>
  </xdr:twoCellAnchor>
  <xdr:twoCellAnchor editAs="oneCell">
    <xdr:from>
      <xdr:col>0</xdr:col>
      <xdr:colOff>0</xdr:colOff>
      <xdr:row>33</xdr:row>
      <xdr:rowOff>9525</xdr:rowOff>
    </xdr:from>
    <xdr:to>
      <xdr:col>18</xdr:col>
      <xdr:colOff>28575</xdr:colOff>
      <xdr:row>64</xdr:row>
      <xdr:rowOff>123825</xdr:rowOff>
    </xdr:to>
    <xdr:pic>
      <xdr:nvPicPr>
        <xdr:cNvPr id="12291" name="Picture 3"/>
        <xdr:cNvPicPr>
          <a:picLocks noChangeAspect="1" noChangeArrowheads="1"/>
        </xdr:cNvPicPr>
      </xdr:nvPicPr>
      <xdr:blipFill>
        <a:blip xmlns:r="http://schemas.openxmlformats.org/officeDocument/2006/relationships" r:embed="rId2"/>
        <a:srcRect l="4905" t="13021" b="12760"/>
        <a:stretch>
          <a:fillRect/>
        </a:stretch>
      </xdr:blipFill>
      <xdr:spPr bwMode="auto">
        <a:xfrm>
          <a:off x="0" y="5667375"/>
          <a:ext cx="12372975" cy="5429250"/>
        </a:xfrm>
        <a:prstGeom prst="rect">
          <a:avLst/>
        </a:prstGeom>
        <a:noFill/>
        <a:ln w="1">
          <a:noFill/>
          <a:miter lim="800000"/>
          <a:headEnd/>
          <a:tailEnd type="none" w="med" len="med"/>
        </a:ln>
        <a:effectLst/>
      </xdr:spPr>
    </xdr:pic>
    <xdr:clientData/>
  </xdr:twoCellAnchor>
  <xdr:twoCellAnchor>
    <xdr:from>
      <xdr:col>0</xdr:col>
      <xdr:colOff>123825</xdr:colOff>
      <xdr:row>34</xdr:row>
      <xdr:rowOff>76200</xdr:rowOff>
    </xdr:from>
    <xdr:to>
      <xdr:col>1</xdr:col>
      <xdr:colOff>495300</xdr:colOff>
      <xdr:row>37</xdr:row>
      <xdr:rowOff>57150</xdr:rowOff>
    </xdr:to>
    <xdr:sp macro="" textlink="">
      <xdr:nvSpPr>
        <xdr:cNvPr id="8" name="テキスト ボックス 7"/>
        <xdr:cNvSpPr txBox="1"/>
      </xdr:nvSpPr>
      <xdr:spPr>
        <a:xfrm>
          <a:off x="123825" y="5905500"/>
          <a:ext cx="1057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足で笹田ｗトップと認識。</a:t>
          </a:r>
        </a:p>
      </xdr:txBody>
    </xdr:sp>
    <xdr:clientData/>
  </xdr:twoCellAnchor>
  <xdr:twoCellAnchor>
    <xdr:from>
      <xdr:col>14</xdr:col>
      <xdr:colOff>200025</xdr:colOff>
      <xdr:row>1</xdr:row>
      <xdr:rowOff>153194</xdr:rowOff>
    </xdr:from>
    <xdr:to>
      <xdr:col>14</xdr:col>
      <xdr:colOff>200819</xdr:colOff>
      <xdr:row>4</xdr:row>
      <xdr:rowOff>133350</xdr:rowOff>
    </xdr:to>
    <xdr:cxnSp macro="">
      <xdr:nvCxnSpPr>
        <xdr:cNvPr id="9" name="直線矢印コネクタ 8"/>
        <xdr:cNvCxnSpPr/>
      </xdr:nvCxnSpPr>
      <xdr:spPr>
        <a:xfrm rot="5400000">
          <a:off x="9554369" y="571500"/>
          <a:ext cx="494506" cy="79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467519</xdr:colOff>
      <xdr:row>51</xdr:row>
      <xdr:rowOff>143669</xdr:rowOff>
    </xdr:from>
    <xdr:to>
      <xdr:col>12</xdr:col>
      <xdr:colOff>381000</xdr:colOff>
      <xdr:row>52</xdr:row>
      <xdr:rowOff>47625</xdr:rowOff>
    </xdr:to>
    <xdr:cxnSp macro="">
      <xdr:nvCxnSpPr>
        <xdr:cNvPr id="10" name="直線矢印コネクタ 9"/>
        <xdr:cNvCxnSpPr/>
      </xdr:nvCxnSpPr>
      <xdr:spPr>
        <a:xfrm>
          <a:off x="8011319" y="8887619"/>
          <a:ext cx="599281" cy="7540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315119</xdr:colOff>
      <xdr:row>35</xdr:row>
      <xdr:rowOff>57150</xdr:rowOff>
    </xdr:from>
    <xdr:to>
      <xdr:col>12</xdr:col>
      <xdr:colOff>228600</xdr:colOff>
      <xdr:row>36</xdr:row>
      <xdr:rowOff>48419</xdr:rowOff>
    </xdr:to>
    <xdr:cxnSp macro="">
      <xdr:nvCxnSpPr>
        <xdr:cNvPr id="12" name="直線矢印コネクタ 11"/>
        <xdr:cNvCxnSpPr/>
      </xdr:nvCxnSpPr>
      <xdr:spPr>
        <a:xfrm flipV="1">
          <a:off x="7858919" y="6057900"/>
          <a:ext cx="599281" cy="16271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533400</xdr:colOff>
      <xdr:row>41</xdr:row>
      <xdr:rowOff>85725</xdr:rowOff>
    </xdr:from>
    <xdr:to>
      <xdr:col>14</xdr:col>
      <xdr:colOff>247650</xdr:colOff>
      <xdr:row>43</xdr:row>
      <xdr:rowOff>104775</xdr:rowOff>
    </xdr:to>
    <xdr:sp macro="" textlink="">
      <xdr:nvSpPr>
        <xdr:cNvPr id="14" name="角丸四角形吹き出し 13"/>
        <xdr:cNvSpPr/>
      </xdr:nvSpPr>
      <xdr:spPr>
        <a:xfrm>
          <a:off x="8763000" y="7115175"/>
          <a:ext cx="1085850" cy="361950"/>
        </a:xfrm>
        <a:prstGeom prst="wedgeRoundRectCallout">
          <a:avLst>
            <a:gd name="adj1" fmla="val -48026"/>
            <a:gd name="adj2" fmla="val -128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ギリギリ利確</a:t>
          </a:r>
        </a:p>
      </xdr:txBody>
    </xdr:sp>
    <xdr:clientData/>
  </xdr:twoCellAnchor>
  <xdr:twoCellAnchor>
    <xdr:from>
      <xdr:col>0</xdr:col>
      <xdr:colOff>133350</xdr:colOff>
      <xdr:row>37</xdr:row>
      <xdr:rowOff>142875</xdr:rowOff>
    </xdr:from>
    <xdr:to>
      <xdr:col>2</xdr:col>
      <xdr:colOff>114300</xdr:colOff>
      <xdr:row>41</xdr:row>
      <xdr:rowOff>133350</xdr:rowOff>
    </xdr:to>
    <xdr:sp macro="" textlink="">
      <xdr:nvSpPr>
        <xdr:cNvPr id="15" name="テキスト ボックス 14"/>
        <xdr:cNvSpPr txBox="1"/>
      </xdr:nvSpPr>
      <xdr:spPr>
        <a:xfrm>
          <a:off x="133350" y="6486525"/>
          <a:ext cx="135255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但し、</a:t>
          </a:r>
          <a:r>
            <a:rPr kumimoji="1" lang="en-US" altLang="ja-JP" sz="1100"/>
            <a:t>MACD</a:t>
          </a:r>
          <a:r>
            <a:rPr kumimoji="1" lang="ja-JP" altLang="en-US" sz="1100"/>
            <a:t>の切り下げは小さい為、ロットは落とすべき</a:t>
          </a:r>
        </a:p>
      </xdr:txBody>
    </xdr:sp>
    <xdr:clientData/>
  </xdr:twoCellAnchor>
  <xdr:twoCellAnchor>
    <xdr:from>
      <xdr:col>2</xdr:col>
      <xdr:colOff>504825</xdr:colOff>
      <xdr:row>40</xdr:row>
      <xdr:rowOff>57149</xdr:rowOff>
    </xdr:from>
    <xdr:to>
      <xdr:col>4</xdr:col>
      <xdr:colOff>600075</xdr:colOff>
      <xdr:row>44</xdr:row>
      <xdr:rowOff>142874</xdr:rowOff>
    </xdr:to>
    <xdr:sp macro="" textlink="">
      <xdr:nvSpPr>
        <xdr:cNvPr id="16" name="角丸四角形吹き出し 15"/>
        <xdr:cNvSpPr/>
      </xdr:nvSpPr>
      <xdr:spPr>
        <a:xfrm>
          <a:off x="1876425" y="6915149"/>
          <a:ext cx="1466850" cy="771525"/>
        </a:xfrm>
        <a:prstGeom prst="wedgeRoundRectCallout">
          <a:avLst>
            <a:gd name="adj1" fmla="val -77880"/>
            <a:gd name="adj2" fmla="val -462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足では</a:t>
          </a:r>
          <a:r>
            <a:rPr kumimoji="1" lang="en-US" altLang="ja-JP" sz="1100"/>
            <a:t>MACD</a:t>
          </a:r>
          <a:r>
            <a:rPr kumimoji="1" lang="ja-JP" altLang="en-US" sz="1100"/>
            <a:t>はしっかり切り下げていたのも判断材料にしました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1">
    <tabColor rgb="FFFFC000"/>
  </sheetPr>
  <dimension ref="A1:L2"/>
  <sheetViews>
    <sheetView zoomScaleSheetLayoutView="100" workbookViewId="0">
      <pane ySplit="1" topLeftCell="A2" activePane="bottomLeft" state="frozen"/>
      <selection activeCell="I4" sqref="I4"/>
      <selection pane="bottomLeft" activeCell="I4" sqref="I4"/>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148</v>
      </c>
      <c r="C1" s="73" t="s">
        <v>114</v>
      </c>
      <c r="D1" s="172" t="s">
        <v>115</v>
      </c>
      <c r="E1" s="172"/>
      <c r="F1" s="172"/>
      <c r="G1" s="172"/>
      <c r="H1" s="172"/>
      <c r="I1" s="172"/>
      <c r="J1" s="172"/>
      <c r="K1" s="172"/>
      <c r="L1" s="172"/>
    </row>
    <row r="2" spans="1:12" ht="196.5" customHeight="1">
      <c r="A2" s="169">
        <v>1</v>
      </c>
      <c r="B2" s="151" t="s">
        <v>394</v>
      </c>
      <c r="C2" s="150" t="s">
        <v>395</v>
      </c>
      <c r="D2" s="170" t="s">
        <v>396</v>
      </c>
      <c r="E2" s="171"/>
      <c r="F2" s="171"/>
      <c r="G2" s="171"/>
      <c r="H2" s="171"/>
      <c r="I2" s="171"/>
      <c r="J2" s="171"/>
      <c r="K2" s="171"/>
      <c r="L2" s="171"/>
    </row>
  </sheetData>
  <mergeCells count="2">
    <mergeCell ref="D2:L2"/>
    <mergeCell ref="D1:L1"/>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0"/>
  </sheetPr>
  <dimension ref="A1:AD67"/>
  <sheetViews>
    <sheetView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8" customWidth="1"/>
    <col min="29" max="29" width="3.375" customWidth="1"/>
    <col min="30" max="30" width="10.875" customWidth="1"/>
  </cols>
  <sheetData>
    <row r="1" spans="1:30" ht="17.25">
      <c r="A1" s="122" t="s">
        <v>211</v>
      </c>
    </row>
    <row r="2" spans="1:30">
      <c r="A2" s="192" t="s">
        <v>208</v>
      </c>
      <c r="B2" s="192"/>
      <c r="C2" s="193">
        <v>500000</v>
      </c>
      <c r="D2" s="193"/>
    </row>
    <row r="3" spans="1:30">
      <c r="A3" s="192" t="s">
        <v>209</v>
      </c>
      <c r="B3" s="192"/>
      <c r="C3" s="194">
        <f>SUM(C2,E37)</f>
        <v>502244</v>
      </c>
      <c r="D3" s="194"/>
    </row>
    <row r="4" spans="1:30">
      <c r="A4" s="192" t="s">
        <v>210</v>
      </c>
      <c r="B4" s="192"/>
      <c r="C4" s="195" t="e">
        <f>DATEVALUE(20&amp;LEFT(トレード履歴!#REF!,2)&amp;"/"&amp;MID(トレード履歴!#REF!,4,2)&amp;"/"&amp;MID(トレード履歴!#REF!,7,2))</f>
        <v>#REF!</v>
      </c>
      <c r="D4" s="195"/>
    </row>
    <row r="6" spans="1:30" ht="17.25">
      <c r="A6" s="89" t="s">
        <v>147</v>
      </c>
      <c r="B6" s="90"/>
      <c r="C6" s="90"/>
      <c r="D6" s="90"/>
      <c r="E6" s="90"/>
      <c r="F6" s="90"/>
      <c r="G6" s="90"/>
      <c r="H6" s="90"/>
      <c r="I6" s="90"/>
      <c r="J6" s="90"/>
      <c r="K6" s="90"/>
      <c r="L6" s="90"/>
      <c r="M6" s="90"/>
      <c r="N6" s="90"/>
      <c r="AD6" s="90"/>
    </row>
    <row r="7" spans="1:30">
      <c r="A7" s="90"/>
      <c r="B7" s="90"/>
      <c r="C7" s="90"/>
      <c r="D7" s="90"/>
      <c r="E7" s="90"/>
      <c r="F7" s="90"/>
      <c r="G7" s="90"/>
      <c r="H7" s="90"/>
      <c r="I7" s="90"/>
      <c r="J7" s="90"/>
      <c r="K7" s="90"/>
      <c r="L7" s="90"/>
      <c r="M7" s="90"/>
      <c r="N7" s="90"/>
      <c r="AD7" s="90"/>
    </row>
    <row r="8" spans="1:30" ht="36">
      <c r="A8" s="91" t="s">
        <v>148</v>
      </c>
      <c r="B8" s="92" t="s">
        <v>149</v>
      </c>
      <c r="C8" s="92" t="s">
        <v>150</v>
      </c>
      <c r="D8" s="93" t="s">
        <v>177</v>
      </c>
      <c r="E8" s="92" t="s">
        <v>151</v>
      </c>
      <c r="F8" s="93" t="s">
        <v>195</v>
      </c>
      <c r="G8" s="92" t="s">
        <v>152</v>
      </c>
      <c r="H8" s="92" t="s">
        <v>153</v>
      </c>
      <c r="I8" s="92" t="s">
        <v>154</v>
      </c>
      <c r="J8" s="92" t="s">
        <v>155</v>
      </c>
      <c r="K8" s="92" t="s">
        <v>156</v>
      </c>
      <c r="L8" s="92" t="s">
        <v>157</v>
      </c>
      <c r="M8" s="93" t="s">
        <v>158</v>
      </c>
      <c r="N8" s="94" t="s">
        <v>159</v>
      </c>
      <c r="AD8" s="92" t="s">
        <v>196</v>
      </c>
    </row>
    <row r="9" spans="1:30">
      <c r="A9" s="95" t="s">
        <v>166</v>
      </c>
      <c r="B9" s="96">
        <f>SUMIFS(トレード履歴!$P$2:$P$34,トレード履歴!$M$2:$M$34,"win",トレード履歴!$B$2:$B$34,成績表!$A9&amp;"*")</f>
        <v>266</v>
      </c>
      <c r="C9" s="96">
        <f>SUMIFS(トレード履歴!$P$2:$P$34,トレード履歴!$M$2:$M$34,"loss",トレード履歴!$B$2:$B$34,成績表!$A9&amp;"*")</f>
        <v>0</v>
      </c>
      <c r="D9" s="96">
        <f>SUMIFS(トレード履歴!$P$2:$P$34,トレード履歴!$M$2:$M$34,"drw",トレード履歴!$B$2:$B$34,成績表!$A9&amp;"*")</f>
        <v>0</v>
      </c>
      <c r="E9" s="96">
        <f t="shared" ref="E9:E36" si="0">SUM(B9:D9)</f>
        <v>266</v>
      </c>
      <c r="F9" s="97">
        <f>COUNTIF(トレード履歴!$B$2:$B$34,成績表!$A9&amp;"*")</f>
        <v>1</v>
      </c>
      <c r="G9" s="97">
        <f>COUNTIFS(トレード履歴!$M$2:$M$34,"win",トレード履歴!$B$2:$B$34,成績表!$A9&amp;"*")</f>
        <v>1</v>
      </c>
      <c r="H9" s="97">
        <f>COUNTIFS(トレード履歴!$M$2:$M$34,"loss",トレード履歴!$B$2:$B$34,成績表!$A9&amp;"*")</f>
        <v>0</v>
      </c>
      <c r="I9" s="98">
        <f>COUNTIFS(トレード履歴!$M$2:$M$34,"drw",トレード履歴!$B$2:$B$34,成績表!$A9&amp;"*")</f>
        <v>0</v>
      </c>
      <c r="J9" s="99">
        <f>IF(G9&gt;0,G9/F9,0)</f>
        <v>1</v>
      </c>
      <c r="K9" s="100">
        <f t="shared" ref="K9:K36" si="1">IF(B9&lt;&gt;0,B9/G9,0)</f>
        <v>266</v>
      </c>
      <c r="L9" s="100">
        <f t="shared" ref="L9:L36" si="2">IF(C9&lt;&gt;0,C9/H9*-1,0)</f>
        <v>0</v>
      </c>
      <c r="M9" s="115">
        <f>IF(AND(K9&lt;&gt;0,L9&lt;&gt;0),K9/L9,0)</f>
        <v>0</v>
      </c>
      <c r="N9" s="116">
        <f t="shared" ref="N9:N36" si="3">IF(AND(B9&lt;&gt;0,C9&lt;&gt;0),B9/C9,0)</f>
        <v>0</v>
      </c>
      <c r="AD9" s="96">
        <f t="shared" ref="AD9:AD36" si="4">ABS(C9)</f>
        <v>0</v>
      </c>
    </row>
    <row r="10" spans="1:30">
      <c r="A10" s="101" t="s">
        <v>167</v>
      </c>
      <c r="B10" s="102">
        <f>SUMIFS(トレード履歴!$P$2:$P$34,トレード履歴!$M$2:$M$34,"win",トレード履歴!$B$2:$B$34,成績表!$A10&amp;"*")</f>
        <v>0</v>
      </c>
      <c r="C10" s="102">
        <f>SUMIFS(トレード履歴!$P$2:$P$34,トレード履歴!$M$2:$M$34,"loss",トレード履歴!$B$2:$B$34,成績表!$A10&amp;"*")</f>
        <v>0</v>
      </c>
      <c r="D10" s="102">
        <f>SUMIFS(トレード履歴!$P$2:$P$34,トレード履歴!$M$2:$M$34,"drw",トレード履歴!$B$2:$B$34,成績表!$A10&amp;"*")</f>
        <v>0</v>
      </c>
      <c r="E10" s="102">
        <f t="shared" si="0"/>
        <v>0</v>
      </c>
      <c r="F10" s="103">
        <f>COUNTIF(トレード履歴!$B$2:$B$34,成績表!$A10&amp;"*")</f>
        <v>0</v>
      </c>
      <c r="G10" s="103">
        <f>COUNTIFS(トレード履歴!$M$2:$M$34,"win",トレード履歴!$B$2:$B$34,成績表!$A10&amp;"*")</f>
        <v>0</v>
      </c>
      <c r="H10" s="103">
        <f>COUNTIFS(トレード履歴!$M$2:$M$34,"loss",トレード履歴!$B$2:$B$34,成績表!$A10&amp;"*")</f>
        <v>0</v>
      </c>
      <c r="I10" s="103">
        <f>COUNTIFS(トレード履歴!$M$2:$M$34,"drw",トレード履歴!$B$2:$B$34,成績表!$A10&amp;"*")</f>
        <v>0</v>
      </c>
      <c r="J10" s="104">
        <f t="shared" ref="J10:J36" si="5">IF(G10&gt;0,G10/F10,0)</f>
        <v>0</v>
      </c>
      <c r="K10" s="102">
        <f t="shared" si="1"/>
        <v>0</v>
      </c>
      <c r="L10" s="102">
        <f t="shared" si="2"/>
        <v>0</v>
      </c>
      <c r="M10" s="117">
        <f t="shared" ref="M10:M35" si="6">IF(AND(K10&lt;&gt;0,L10&lt;&gt;0),K10/L10,0)</f>
        <v>0</v>
      </c>
      <c r="N10" s="118">
        <f t="shared" si="3"/>
        <v>0</v>
      </c>
      <c r="AD10" s="102">
        <f t="shared" si="4"/>
        <v>0</v>
      </c>
    </row>
    <row r="11" spans="1:30">
      <c r="A11" s="101" t="s">
        <v>168</v>
      </c>
      <c r="B11" s="102">
        <f>SUMIFS(トレード履歴!$P$2:$P$34,トレード履歴!$M$2:$M$34,"win",トレード履歴!$B$2:$B$34,成績表!$A11&amp;"*")</f>
        <v>0</v>
      </c>
      <c r="C11" s="102">
        <f>SUMIFS(トレード履歴!$P$2:$P$34,トレード履歴!$M$2:$M$34,"loss",トレード履歴!$B$2:$B$34,成績表!$A11&amp;"*")</f>
        <v>0</v>
      </c>
      <c r="D11" s="102">
        <f>SUMIFS(トレード履歴!$P$2:$P$34,トレード履歴!$M$2:$M$34,"drw",トレード履歴!$B$2:$B$34,成績表!$A11&amp;"*")</f>
        <v>0</v>
      </c>
      <c r="E11" s="102">
        <f t="shared" si="0"/>
        <v>0</v>
      </c>
      <c r="F11" s="103">
        <f>COUNTIF(トレード履歴!$B$2:$B$34,成績表!$A11&amp;"*")</f>
        <v>0</v>
      </c>
      <c r="G11" s="103">
        <f>COUNTIFS(トレード履歴!$M$2:$M$34,"win",トレード履歴!$B$2:$B$34,成績表!$A11&amp;"*")</f>
        <v>0</v>
      </c>
      <c r="H11" s="103">
        <f>COUNTIFS(トレード履歴!$M$2:$M$34,"loss",トレード履歴!$B$2:$B$34,成績表!$A11&amp;"*")</f>
        <v>0</v>
      </c>
      <c r="I11" s="103">
        <f>COUNTIFS(トレード履歴!$M$2:$M$34,"drw",トレード履歴!$B$2:$B$34,成績表!$A11&amp;"*")</f>
        <v>0</v>
      </c>
      <c r="J11" s="104">
        <f t="shared" si="5"/>
        <v>0</v>
      </c>
      <c r="K11" s="102">
        <f t="shared" si="1"/>
        <v>0</v>
      </c>
      <c r="L11" s="102">
        <f t="shared" si="2"/>
        <v>0</v>
      </c>
      <c r="M11" s="117">
        <f t="shared" si="6"/>
        <v>0</v>
      </c>
      <c r="N11" s="118">
        <f t="shared" si="3"/>
        <v>0</v>
      </c>
      <c r="AD11" s="102">
        <f t="shared" si="4"/>
        <v>0</v>
      </c>
    </row>
    <row r="12" spans="1:30">
      <c r="A12" s="101" t="s">
        <v>169</v>
      </c>
      <c r="B12" s="102">
        <f>SUMIFS(トレード履歴!$P$2:$P$34,トレード履歴!$M$2:$M$34,"win",トレード履歴!$B$2:$B$34,成績表!$A12&amp;"*")</f>
        <v>870</v>
      </c>
      <c r="C12" s="102">
        <f>SUMIFS(トレード履歴!$P$2:$P$34,トレード履歴!$M$2:$M$34,"loss",トレード履歴!$B$2:$B$34,成績表!$A12&amp;"*")</f>
        <v>0</v>
      </c>
      <c r="D12" s="102">
        <f>SUMIFS(トレード履歴!$P$2:$P$34,トレード履歴!$M$2:$M$34,"drw",トレード履歴!$B$2:$B$34,成績表!$A12&amp;"*")</f>
        <v>0</v>
      </c>
      <c r="E12" s="102">
        <f t="shared" si="0"/>
        <v>870</v>
      </c>
      <c r="F12" s="103">
        <f>COUNTIF(トレード履歴!$B$2:$B$34,成績表!$A12&amp;"*")</f>
        <v>1</v>
      </c>
      <c r="G12" s="103">
        <f>COUNTIFS(トレード履歴!$M$2:$M$34,"win",トレード履歴!$B$2:$B$34,成績表!$A12&amp;"*")</f>
        <v>1</v>
      </c>
      <c r="H12" s="103">
        <f>COUNTIFS(トレード履歴!$M$2:$M$34,"loss",トレード履歴!$B$2:$B$34,成績表!$A12&amp;"*")</f>
        <v>0</v>
      </c>
      <c r="I12" s="103">
        <f>COUNTIFS(トレード履歴!$M$2:$M$34,"drw",トレード履歴!$B$2:$B$34,成績表!$A12&amp;"*")</f>
        <v>0</v>
      </c>
      <c r="J12" s="104">
        <f t="shared" si="5"/>
        <v>1</v>
      </c>
      <c r="K12" s="102">
        <f t="shared" si="1"/>
        <v>870</v>
      </c>
      <c r="L12" s="102">
        <f t="shared" si="2"/>
        <v>0</v>
      </c>
      <c r="M12" s="117">
        <f t="shared" si="6"/>
        <v>0</v>
      </c>
      <c r="N12" s="118">
        <f t="shared" si="3"/>
        <v>0</v>
      </c>
      <c r="AD12" s="102">
        <f t="shared" si="4"/>
        <v>0</v>
      </c>
    </row>
    <row r="13" spans="1:30">
      <c r="A13" s="101" t="s">
        <v>170</v>
      </c>
      <c r="B13" s="102">
        <f>SUMIFS(トレード履歴!$P$2:$P$34,トレード履歴!$M$2:$M$34,"win",トレード履歴!$B$2:$B$34,成績表!$A13&amp;"*")</f>
        <v>0</v>
      </c>
      <c r="C13" s="102">
        <f>SUMIFS(トレード履歴!$P$2:$P$34,トレード履歴!$M$2:$M$34,"loss",トレード履歴!$B$2:$B$34,成績表!$A13&amp;"*")</f>
        <v>0</v>
      </c>
      <c r="D13" s="102">
        <f>SUMIFS(トレード履歴!$P$2:$P$34,トレード履歴!$M$2:$M$34,"drw",トレード履歴!$B$2:$B$34,成績表!$A13&amp;"*")</f>
        <v>0</v>
      </c>
      <c r="E13" s="102">
        <f t="shared" si="0"/>
        <v>0</v>
      </c>
      <c r="F13" s="103">
        <f>COUNTIF(トレード履歴!$B$2:$B$34,成績表!$A13&amp;"*")</f>
        <v>0</v>
      </c>
      <c r="G13" s="103">
        <f>COUNTIFS(トレード履歴!$M$2:$M$34,"win",トレード履歴!$B$2:$B$34,成績表!$A13&amp;"*")</f>
        <v>0</v>
      </c>
      <c r="H13" s="103">
        <f>COUNTIFS(トレード履歴!$M$2:$M$34,"loss",トレード履歴!$B$2:$B$34,成績表!$A13&amp;"*")</f>
        <v>0</v>
      </c>
      <c r="I13" s="103">
        <f>COUNTIFS(トレード履歴!$M$2:$M$34,"drw",トレード履歴!$B$2:$B$34,成績表!$A13&amp;"*")</f>
        <v>0</v>
      </c>
      <c r="J13" s="104">
        <f t="shared" si="5"/>
        <v>0</v>
      </c>
      <c r="K13" s="102">
        <f t="shared" si="1"/>
        <v>0</v>
      </c>
      <c r="L13" s="102">
        <f t="shared" si="2"/>
        <v>0</v>
      </c>
      <c r="M13" s="117">
        <f t="shared" si="6"/>
        <v>0</v>
      </c>
      <c r="N13" s="118">
        <f t="shared" si="3"/>
        <v>0</v>
      </c>
      <c r="AD13" s="102">
        <f t="shared" si="4"/>
        <v>0</v>
      </c>
    </row>
    <row r="14" spans="1:30">
      <c r="A14" s="101" t="s">
        <v>171</v>
      </c>
      <c r="B14" s="102">
        <f>SUMIFS(トレード履歴!$P$2:$P$34,トレード履歴!$M$2:$M$34,"win",トレード履歴!$B$2:$B$34,成績表!$A14&amp;"*")</f>
        <v>0</v>
      </c>
      <c r="C14" s="102">
        <f>SUMIFS(トレード履歴!$P$2:$P$34,トレード履歴!$M$2:$M$34,"loss",トレード履歴!$B$2:$B$34,成績表!$A14&amp;"*")</f>
        <v>0</v>
      </c>
      <c r="D14" s="102">
        <f>SUMIFS(トレード履歴!$P$2:$P$34,トレード履歴!$M$2:$M$34,"drw",トレード履歴!$B$2:$B$34,成績表!$A14&amp;"*")</f>
        <v>0</v>
      </c>
      <c r="E14" s="102">
        <f t="shared" si="0"/>
        <v>0</v>
      </c>
      <c r="F14" s="103">
        <f>COUNTIF(トレード履歴!$B$2:$B$34,成績表!$A14&amp;"*")</f>
        <v>0</v>
      </c>
      <c r="G14" s="103">
        <f>COUNTIFS(トレード履歴!$M$2:$M$34,"win",トレード履歴!$B$2:$B$34,成績表!$A14&amp;"*")</f>
        <v>0</v>
      </c>
      <c r="H14" s="103">
        <f>COUNTIFS(トレード履歴!$M$2:$M$34,"loss",トレード履歴!$B$2:$B$34,成績表!$A14&amp;"*")</f>
        <v>0</v>
      </c>
      <c r="I14" s="103">
        <f>COUNTIFS(トレード履歴!$M$2:$M$34,"drw",トレード履歴!$B$2:$B$34,成績表!$A14&amp;"*")</f>
        <v>0</v>
      </c>
      <c r="J14" s="104">
        <f t="shared" si="5"/>
        <v>0</v>
      </c>
      <c r="K14" s="102">
        <f t="shared" si="1"/>
        <v>0</v>
      </c>
      <c r="L14" s="102">
        <f t="shared" si="2"/>
        <v>0</v>
      </c>
      <c r="M14" s="117">
        <f t="shared" si="6"/>
        <v>0</v>
      </c>
      <c r="N14" s="118">
        <f t="shared" si="3"/>
        <v>0</v>
      </c>
      <c r="AD14" s="102">
        <f t="shared" si="4"/>
        <v>0</v>
      </c>
    </row>
    <row r="15" spans="1:30">
      <c r="A15" s="101" t="s">
        <v>172</v>
      </c>
      <c r="B15" s="102">
        <f>SUMIFS(トレード履歴!$P$2:$P$34,トレード履歴!$M$2:$M$34,"win",トレード履歴!$B$2:$B$34,成績表!$A15&amp;"*")</f>
        <v>0</v>
      </c>
      <c r="C15" s="102">
        <f>SUMIFS(トレード履歴!$P$2:$P$34,トレード履歴!$M$2:$M$34,"loss",トレード履歴!$B$2:$B$34,成績表!$A15&amp;"*")</f>
        <v>0</v>
      </c>
      <c r="D15" s="102">
        <f>SUMIFS(トレード履歴!$P$2:$P$34,トレード履歴!$M$2:$M$34,"drw",トレード履歴!$B$2:$B$34,成績表!$A15&amp;"*")</f>
        <v>0</v>
      </c>
      <c r="E15" s="102">
        <f t="shared" si="0"/>
        <v>0</v>
      </c>
      <c r="F15" s="103">
        <f>COUNTIF(トレード履歴!$B$2:$B$34,成績表!$A15&amp;"*")</f>
        <v>0</v>
      </c>
      <c r="G15" s="103">
        <f>COUNTIFS(トレード履歴!$M$2:$M$34,"win",トレード履歴!$B$2:$B$34,成績表!$A15&amp;"*")</f>
        <v>0</v>
      </c>
      <c r="H15" s="103">
        <f>COUNTIFS(トレード履歴!$M$2:$M$34,"loss",トレード履歴!$B$2:$B$34,成績表!$A15&amp;"*")</f>
        <v>0</v>
      </c>
      <c r="I15" s="103">
        <f>COUNTIFS(トレード履歴!$M$2:$M$34,"drw",トレード履歴!$B$2:$B$34,成績表!$A15&amp;"*")</f>
        <v>0</v>
      </c>
      <c r="J15" s="104">
        <f t="shared" si="5"/>
        <v>0</v>
      </c>
      <c r="K15" s="102">
        <f t="shared" si="1"/>
        <v>0</v>
      </c>
      <c r="L15" s="102">
        <f t="shared" si="2"/>
        <v>0</v>
      </c>
      <c r="M15" s="117">
        <f t="shared" si="6"/>
        <v>0</v>
      </c>
      <c r="N15" s="118">
        <f t="shared" si="3"/>
        <v>0</v>
      </c>
      <c r="AD15" s="102">
        <f t="shared" si="4"/>
        <v>0</v>
      </c>
    </row>
    <row r="16" spans="1:30">
      <c r="A16" s="101" t="s">
        <v>173</v>
      </c>
      <c r="B16" s="102">
        <f>SUMIFS(トレード履歴!$P$2:$P$34,トレード履歴!$M$2:$M$34,"win",トレード履歴!$B$2:$B$34,成績表!$A16&amp;"*")</f>
        <v>0</v>
      </c>
      <c r="C16" s="102">
        <f>SUMIFS(トレード履歴!$P$2:$P$34,トレード履歴!$M$2:$M$34,"loss",トレード履歴!$B$2:$B$34,成績表!$A16&amp;"*")</f>
        <v>0</v>
      </c>
      <c r="D16" s="102">
        <f>SUMIFS(トレード履歴!$P$2:$P$34,トレード履歴!$M$2:$M$34,"drw",トレード履歴!$B$2:$B$34,成績表!$A16&amp;"*")</f>
        <v>0</v>
      </c>
      <c r="E16" s="102">
        <f t="shared" si="0"/>
        <v>0</v>
      </c>
      <c r="F16" s="103">
        <f>COUNTIF(トレード履歴!$B$2:$B$34,成績表!$A16&amp;"*")</f>
        <v>0</v>
      </c>
      <c r="G16" s="103">
        <f>COUNTIFS(トレード履歴!$M$2:$M$34,"win",トレード履歴!$B$2:$B$34,成績表!$A16&amp;"*")</f>
        <v>0</v>
      </c>
      <c r="H16" s="103">
        <f>COUNTIFS(トレード履歴!$M$2:$M$34,"loss",トレード履歴!$B$2:$B$34,成績表!$A16&amp;"*")</f>
        <v>0</v>
      </c>
      <c r="I16" s="103">
        <f>COUNTIFS(トレード履歴!$M$2:$M$34,"drw",トレード履歴!$B$2:$B$34,成績表!$A16&amp;"*")</f>
        <v>0</v>
      </c>
      <c r="J16" s="104">
        <f t="shared" si="5"/>
        <v>0</v>
      </c>
      <c r="K16" s="102">
        <f t="shared" si="1"/>
        <v>0</v>
      </c>
      <c r="L16" s="102">
        <f t="shared" si="2"/>
        <v>0</v>
      </c>
      <c r="M16" s="117">
        <f t="shared" si="6"/>
        <v>0</v>
      </c>
      <c r="N16" s="118">
        <f t="shared" si="3"/>
        <v>0</v>
      </c>
      <c r="AD16" s="102">
        <f t="shared" si="4"/>
        <v>0</v>
      </c>
    </row>
    <row r="17" spans="1:30">
      <c r="A17" s="101" t="s">
        <v>174</v>
      </c>
      <c r="B17" s="102">
        <f>SUMIFS(トレード履歴!$P$2:$P$34,トレード履歴!$M$2:$M$34,"win",トレード履歴!$B$2:$B$34,成績表!$A17&amp;"*")</f>
        <v>0</v>
      </c>
      <c r="C17" s="102">
        <f>SUMIFS(トレード履歴!$P$2:$P$34,トレード履歴!$M$2:$M$34,"loss",トレード履歴!$B$2:$B$34,成績表!$A17&amp;"*")</f>
        <v>0</v>
      </c>
      <c r="D17" s="102">
        <f>SUMIFS(トレード履歴!$P$2:$P$34,トレード履歴!$M$2:$M$34,"drw",トレード履歴!$B$2:$B$34,成績表!$A17&amp;"*")</f>
        <v>0</v>
      </c>
      <c r="E17" s="102">
        <f t="shared" si="0"/>
        <v>0</v>
      </c>
      <c r="F17" s="103">
        <f>COUNTIF(トレード履歴!$B$2:$B$34,成績表!$A17&amp;"*")</f>
        <v>0</v>
      </c>
      <c r="G17" s="103">
        <f>COUNTIFS(トレード履歴!$M$2:$M$34,"win",トレード履歴!$B$2:$B$34,成績表!$A17&amp;"*")</f>
        <v>0</v>
      </c>
      <c r="H17" s="103">
        <f>COUNTIFS(トレード履歴!$M$2:$M$34,"loss",トレード履歴!$B$2:$B$34,成績表!$A17&amp;"*")</f>
        <v>0</v>
      </c>
      <c r="I17" s="103">
        <f>COUNTIFS(トレード履歴!$M$2:$M$34,"drw",トレード履歴!$B$2:$B$34,成績表!$A17&amp;"*")</f>
        <v>0</v>
      </c>
      <c r="J17" s="104">
        <f t="shared" si="5"/>
        <v>0</v>
      </c>
      <c r="K17" s="102">
        <f t="shared" si="1"/>
        <v>0</v>
      </c>
      <c r="L17" s="102">
        <f t="shared" si="2"/>
        <v>0</v>
      </c>
      <c r="M17" s="117">
        <f t="shared" si="6"/>
        <v>0</v>
      </c>
      <c r="N17" s="118">
        <f t="shared" si="3"/>
        <v>0</v>
      </c>
      <c r="AD17" s="102">
        <f t="shared" si="4"/>
        <v>0</v>
      </c>
    </row>
    <row r="18" spans="1:30">
      <c r="A18" s="101" t="s">
        <v>178</v>
      </c>
      <c r="B18" s="102">
        <f>SUMIFS(トレード履歴!$P$2:$P$34,トレード履歴!$M$2:$M$34,"win",トレード履歴!$B$2:$B$34,成績表!$A18&amp;"*")</f>
        <v>0</v>
      </c>
      <c r="C18" s="102">
        <f>SUMIFS(トレード履歴!$P$2:$P$34,トレード履歴!$M$2:$M$34,"loss",トレード履歴!$B$2:$B$34,成績表!$A18&amp;"*")</f>
        <v>0</v>
      </c>
      <c r="D18" s="102">
        <f>SUMIFS(トレード履歴!$P$2:$P$34,トレード履歴!$M$2:$M$34,"drw",トレード履歴!$B$2:$B$34,成績表!$A18&amp;"*")</f>
        <v>0</v>
      </c>
      <c r="E18" s="102">
        <f t="shared" si="0"/>
        <v>0</v>
      </c>
      <c r="F18" s="103">
        <f>COUNTIF(トレード履歴!$B$2:$B$34,成績表!$A18&amp;"*")</f>
        <v>0</v>
      </c>
      <c r="G18" s="103">
        <f>COUNTIFS(トレード履歴!$M$2:$M$34,"win",トレード履歴!$B$2:$B$34,成績表!$A18&amp;"*")</f>
        <v>0</v>
      </c>
      <c r="H18" s="103">
        <f>COUNTIFS(トレード履歴!$M$2:$M$34,"loss",トレード履歴!$B$2:$B$34,成績表!$A18&amp;"*")</f>
        <v>0</v>
      </c>
      <c r="I18" s="103">
        <f>COUNTIFS(トレード履歴!$M$2:$M$34,"drw",トレード履歴!$B$2:$B$34,成績表!$A18&amp;"*")</f>
        <v>0</v>
      </c>
      <c r="J18" s="104">
        <f t="shared" si="5"/>
        <v>0</v>
      </c>
      <c r="K18" s="102">
        <f t="shared" si="1"/>
        <v>0</v>
      </c>
      <c r="L18" s="102">
        <f t="shared" si="2"/>
        <v>0</v>
      </c>
      <c r="M18" s="117">
        <f t="shared" si="6"/>
        <v>0</v>
      </c>
      <c r="N18" s="118">
        <f t="shared" si="3"/>
        <v>0</v>
      </c>
      <c r="AD18" s="102">
        <f t="shared" si="4"/>
        <v>0</v>
      </c>
    </row>
    <row r="19" spans="1:30">
      <c r="A19" s="101" t="s">
        <v>165</v>
      </c>
      <c r="B19" s="102">
        <f>SUMIFS(トレード履歴!$P$2:$P$34,トレード履歴!$M$2:$M$34,"win",トレード履歴!$B$2:$B$34,成績表!$A19&amp;"*")</f>
        <v>0</v>
      </c>
      <c r="C19" s="102">
        <f>SUMIFS(トレード履歴!$P$2:$P$34,トレード履歴!$M$2:$M$34,"loss",トレード履歴!$B$2:$B$34,成績表!$A19&amp;"*")</f>
        <v>0</v>
      </c>
      <c r="D19" s="102">
        <f>SUMIFS(トレード履歴!$P$2:$P$34,トレード履歴!$M$2:$M$34,"drw",トレード履歴!$B$2:$B$34,成績表!$A19&amp;"*")</f>
        <v>0</v>
      </c>
      <c r="E19" s="102">
        <f t="shared" si="0"/>
        <v>0</v>
      </c>
      <c r="F19" s="103">
        <f>COUNTIF(トレード履歴!$B$2:$B$34,成績表!$A19&amp;"*")</f>
        <v>0</v>
      </c>
      <c r="G19" s="103">
        <f>COUNTIFS(トレード履歴!$M$2:$M$34,"win",トレード履歴!$B$2:$B$34,成績表!$A19&amp;"*")</f>
        <v>0</v>
      </c>
      <c r="H19" s="103">
        <f>COUNTIFS(トレード履歴!$M$2:$M$34,"loss",トレード履歴!$B$2:$B$34,成績表!$A19&amp;"*")</f>
        <v>0</v>
      </c>
      <c r="I19" s="103">
        <f>COUNTIFS(トレード履歴!$M$2:$M$34,"drw",トレード履歴!$B$2:$B$34,成績表!$A19&amp;"*")</f>
        <v>0</v>
      </c>
      <c r="J19" s="104">
        <f t="shared" si="5"/>
        <v>0</v>
      </c>
      <c r="K19" s="102">
        <f t="shared" si="1"/>
        <v>0</v>
      </c>
      <c r="L19" s="102">
        <f t="shared" si="2"/>
        <v>0</v>
      </c>
      <c r="M19" s="117">
        <f t="shared" si="6"/>
        <v>0</v>
      </c>
      <c r="N19" s="118">
        <f t="shared" si="3"/>
        <v>0</v>
      </c>
      <c r="AD19" s="102">
        <f t="shared" si="4"/>
        <v>0</v>
      </c>
    </row>
    <row r="20" spans="1:30">
      <c r="A20" s="101" t="s">
        <v>175</v>
      </c>
      <c r="B20" s="102">
        <f>SUMIFS(トレード履歴!$P$2:$P$34,トレード履歴!$M$2:$M$34,"win",トレード履歴!$B$2:$B$34,成績表!$A20&amp;"*")</f>
        <v>0</v>
      </c>
      <c r="C20" s="102">
        <f>SUMIFS(トレード履歴!$P$2:$P$34,トレード履歴!$M$2:$M$34,"loss",トレード履歴!$B$2:$B$34,成績表!$A20&amp;"*")</f>
        <v>0</v>
      </c>
      <c r="D20" s="102">
        <f>SUMIFS(トレード履歴!$P$2:$P$34,トレード履歴!$M$2:$M$34,"drw",トレード履歴!$B$2:$B$34,成績表!$A20&amp;"*")</f>
        <v>0</v>
      </c>
      <c r="E20" s="102">
        <f t="shared" si="0"/>
        <v>0</v>
      </c>
      <c r="F20" s="103">
        <f>COUNTIF(トレード履歴!$B$2:$B$34,成績表!$A20&amp;"*")</f>
        <v>0</v>
      </c>
      <c r="G20" s="103">
        <f>COUNTIFS(トレード履歴!$M$2:$M$34,"win",トレード履歴!$B$2:$B$34,成績表!$A20&amp;"*")</f>
        <v>0</v>
      </c>
      <c r="H20" s="103">
        <f>COUNTIFS(トレード履歴!$M$2:$M$34,"loss",トレード履歴!$B$2:$B$34,成績表!$A20&amp;"*")</f>
        <v>0</v>
      </c>
      <c r="I20" s="103">
        <f>COUNTIFS(トレード履歴!$M$2:$M$34,"drw",トレード履歴!$B$2:$B$34,成績表!$A20&amp;"*")</f>
        <v>0</v>
      </c>
      <c r="J20" s="104">
        <f t="shared" si="5"/>
        <v>0</v>
      </c>
      <c r="K20" s="102">
        <f t="shared" si="1"/>
        <v>0</v>
      </c>
      <c r="L20" s="102">
        <f t="shared" si="2"/>
        <v>0</v>
      </c>
      <c r="M20" s="117">
        <f t="shared" si="6"/>
        <v>0</v>
      </c>
      <c r="N20" s="118">
        <f t="shared" si="3"/>
        <v>0</v>
      </c>
      <c r="AD20" s="102">
        <f t="shared" si="4"/>
        <v>0</v>
      </c>
    </row>
    <row r="21" spans="1:30">
      <c r="A21" s="101" t="s">
        <v>179</v>
      </c>
      <c r="B21" s="102">
        <f>SUMIFS(トレード履歴!$P$2:$P$34,トレード履歴!$M$2:$M$34,"win",トレード履歴!$B$2:$B$34,成績表!$A21&amp;"*")</f>
        <v>0</v>
      </c>
      <c r="C21" s="102">
        <f>SUMIFS(トレード履歴!$P$2:$P$34,トレード履歴!$M$2:$M$34,"loss",トレード履歴!$B$2:$B$34,成績表!$A21&amp;"*")</f>
        <v>0</v>
      </c>
      <c r="D21" s="102">
        <f>SUMIFS(トレード履歴!$P$2:$P$34,トレード履歴!$M$2:$M$34,"drw",トレード履歴!$B$2:$B$34,成績表!$A21&amp;"*")</f>
        <v>0</v>
      </c>
      <c r="E21" s="102">
        <f t="shared" si="0"/>
        <v>0</v>
      </c>
      <c r="F21" s="103">
        <f>COUNTIF(トレード履歴!$B$2:$B$34,成績表!$A21&amp;"*")</f>
        <v>0</v>
      </c>
      <c r="G21" s="103">
        <f>COUNTIFS(トレード履歴!$M$2:$M$34,"win",トレード履歴!$B$2:$B$34,成績表!$A21&amp;"*")</f>
        <v>0</v>
      </c>
      <c r="H21" s="103">
        <f>COUNTIFS(トレード履歴!$M$2:$M$34,"loss",トレード履歴!$B$2:$B$34,成績表!$A21&amp;"*")</f>
        <v>0</v>
      </c>
      <c r="I21" s="103">
        <f>COUNTIFS(トレード履歴!$M$2:$M$34,"drw",トレード履歴!$B$2:$B$34,成績表!$A21&amp;"*")</f>
        <v>0</v>
      </c>
      <c r="J21" s="104">
        <f t="shared" si="5"/>
        <v>0</v>
      </c>
      <c r="K21" s="102">
        <f t="shared" si="1"/>
        <v>0</v>
      </c>
      <c r="L21" s="102">
        <f t="shared" si="2"/>
        <v>0</v>
      </c>
      <c r="M21" s="117">
        <f t="shared" si="6"/>
        <v>0</v>
      </c>
      <c r="N21" s="118">
        <f t="shared" si="3"/>
        <v>0</v>
      </c>
      <c r="AD21" s="102">
        <f t="shared" si="4"/>
        <v>0</v>
      </c>
    </row>
    <row r="22" spans="1:30">
      <c r="A22" s="101" t="s">
        <v>180</v>
      </c>
      <c r="B22" s="102">
        <f>SUMIFS(トレード履歴!$P$2:$P$34,トレード履歴!$M$2:$M$34,"win",トレード履歴!$B$2:$B$34,成績表!$A22&amp;"*")</f>
        <v>533</v>
      </c>
      <c r="C22" s="102">
        <f>SUMIFS(トレード履歴!$P$2:$P$34,トレード履歴!$M$2:$M$34,"loss",トレード履歴!$B$2:$B$34,成績表!$A22&amp;"*")</f>
        <v>0</v>
      </c>
      <c r="D22" s="102">
        <f>SUMIFS(トレード履歴!$P$2:$P$34,トレード履歴!$M$2:$M$34,"drw",トレード履歴!$B$2:$B$34,成績表!$A22&amp;"*")</f>
        <v>0</v>
      </c>
      <c r="E22" s="102">
        <f t="shared" si="0"/>
        <v>533</v>
      </c>
      <c r="F22" s="103">
        <f>COUNTIF(トレード履歴!$B$2:$B$34,成績表!$A22&amp;"*")</f>
        <v>1</v>
      </c>
      <c r="G22" s="103">
        <f>COUNTIFS(トレード履歴!$M$2:$M$34,"win",トレード履歴!$B$2:$B$34,成績表!$A22&amp;"*")</f>
        <v>1</v>
      </c>
      <c r="H22" s="103">
        <f>COUNTIFS(トレード履歴!$M$2:$M$34,"loss",トレード履歴!$B$2:$B$34,成績表!$A22&amp;"*")</f>
        <v>0</v>
      </c>
      <c r="I22" s="103">
        <f>COUNTIFS(トレード履歴!$M$2:$M$34,"drw",トレード履歴!$B$2:$B$34,成績表!$A22&amp;"*")</f>
        <v>0</v>
      </c>
      <c r="J22" s="104">
        <f t="shared" si="5"/>
        <v>1</v>
      </c>
      <c r="K22" s="102">
        <f t="shared" si="1"/>
        <v>533</v>
      </c>
      <c r="L22" s="102">
        <f t="shared" si="2"/>
        <v>0</v>
      </c>
      <c r="M22" s="117">
        <f t="shared" si="6"/>
        <v>0</v>
      </c>
      <c r="N22" s="118">
        <f t="shared" si="3"/>
        <v>0</v>
      </c>
      <c r="AD22" s="102">
        <f t="shared" si="4"/>
        <v>0</v>
      </c>
    </row>
    <row r="23" spans="1:30">
      <c r="A23" s="101" t="s">
        <v>181</v>
      </c>
      <c r="B23" s="102">
        <f>SUMIFS(トレード履歴!$P$2:$P$34,トレード履歴!$M$2:$M$34,"win",トレード履歴!$B$2:$B$34,成績表!$A23&amp;"*")</f>
        <v>0</v>
      </c>
      <c r="C23" s="102">
        <f>SUMIFS(トレード履歴!$P$2:$P$34,トレード履歴!$M$2:$M$34,"loss",トレード履歴!$B$2:$B$34,成績表!$A23&amp;"*")</f>
        <v>0</v>
      </c>
      <c r="D23" s="102">
        <f>SUMIFS(トレード履歴!$P$2:$P$34,トレード履歴!$M$2:$M$34,"drw",トレード履歴!$B$2:$B$34,成績表!$A23&amp;"*")</f>
        <v>0</v>
      </c>
      <c r="E23" s="102">
        <f t="shared" si="0"/>
        <v>0</v>
      </c>
      <c r="F23" s="103">
        <f>COUNTIF(トレード履歴!$B$2:$B$34,成績表!$A23&amp;"*")</f>
        <v>0</v>
      </c>
      <c r="G23" s="103">
        <f>COUNTIFS(トレード履歴!$M$2:$M$34,"win",トレード履歴!$B$2:$B$34,成績表!$A23&amp;"*")</f>
        <v>0</v>
      </c>
      <c r="H23" s="103">
        <f>COUNTIFS(トレード履歴!$M$2:$M$34,"loss",トレード履歴!$B$2:$B$34,成績表!$A23&amp;"*")</f>
        <v>0</v>
      </c>
      <c r="I23" s="103">
        <f>COUNTIFS(トレード履歴!$M$2:$M$34,"drw",トレード履歴!$B$2:$B$34,成績表!$A23&amp;"*")</f>
        <v>0</v>
      </c>
      <c r="J23" s="104">
        <f t="shared" si="5"/>
        <v>0</v>
      </c>
      <c r="K23" s="102">
        <f t="shared" si="1"/>
        <v>0</v>
      </c>
      <c r="L23" s="102">
        <f t="shared" si="2"/>
        <v>0</v>
      </c>
      <c r="M23" s="117">
        <f t="shared" si="6"/>
        <v>0</v>
      </c>
      <c r="N23" s="118">
        <f t="shared" si="3"/>
        <v>0</v>
      </c>
      <c r="AD23" s="102">
        <f t="shared" si="4"/>
        <v>0</v>
      </c>
    </row>
    <row r="24" spans="1:30">
      <c r="A24" s="101" t="s">
        <v>182</v>
      </c>
      <c r="B24" s="102">
        <f>SUMIFS(トレード履歴!$P$2:$P$34,トレード履歴!$M$2:$M$34,"win",トレード履歴!$B$2:$B$34,成績表!$A24&amp;"*")</f>
        <v>0</v>
      </c>
      <c r="C24" s="102">
        <f>SUMIFS(トレード履歴!$P$2:$P$34,トレード履歴!$M$2:$M$34,"loss",トレード履歴!$B$2:$B$34,成績表!$A24&amp;"*")</f>
        <v>0</v>
      </c>
      <c r="D24" s="102">
        <f>SUMIFS(トレード履歴!$P$2:$P$34,トレード履歴!$M$2:$M$34,"drw",トレード履歴!$B$2:$B$34,成績表!$A24&amp;"*")</f>
        <v>0</v>
      </c>
      <c r="E24" s="102">
        <f t="shared" si="0"/>
        <v>0</v>
      </c>
      <c r="F24" s="103">
        <f>COUNTIF(トレード履歴!$B$2:$B$34,成績表!$A24&amp;"*")</f>
        <v>0</v>
      </c>
      <c r="G24" s="103">
        <f>COUNTIFS(トレード履歴!$M$2:$M$34,"win",トレード履歴!$B$2:$B$34,成績表!$A24&amp;"*")</f>
        <v>0</v>
      </c>
      <c r="H24" s="103">
        <f>COUNTIFS(トレード履歴!$M$2:$M$34,"loss",トレード履歴!$B$2:$B$34,成績表!$A24&amp;"*")</f>
        <v>0</v>
      </c>
      <c r="I24" s="103">
        <f>COUNTIFS(トレード履歴!$M$2:$M$34,"drw",トレード履歴!$B$2:$B$34,成績表!$A24&amp;"*")</f>
        <v>0</v>
      </c>
      <c r="J24" s="104">
        <f t="shared" si="5"/>
        <v>0</v>
      </c>
      <c r="K24" s="102">
        <f t="shared" si="1"/>
        <v>0</v>
      </c>
      <c r="L24" s="102">
        <f t="shared" si="2"/>
        <v>0</v>
      </c>
      <c r="M24" s="117">
        <f t="shared" si="6"/>
        <v>0</v>
      </c>
      <c r="N24" s="118">
        <f t="shared" si="3"/>
        <v>0</v>
      </c>
      <c r="AD24" s="102">
        <f t="shared" si="4"/>
        <v>0</v>
      </c>
    </row>
    <row r="25" spans="1:30">
      <c r="A25" s="101" t="s">
        <v>183</v>
      </c>
      <c r="B25" s="102">
        <f>SUMIFS(トレード履歴!$P$2:$P$34,トレード履歴!$M$2:$M$34,"win",トレード履歴!$B$2:$B$34,成績表!$A25&amp;"*")</f>
        <v>0</v>
      </c>
      <c r="C25" s="102">
        <f>SUMIFS(トレード履歴!$P$2:$P$34,トレード履歴!$M$2:$M$34,"loss",トレード履歴!$B$2:$B$34,成績表!$A25&amp;"*")</f>
        <v>0</v>
      </c>
      <c r="D25" s="102">
        <f>SUMIFS(トレード履歴!$P$2:$P$34,トレード履歴!$M$2:$M$34,"drw",トレード履歴!$B$2:$B$34,成績表!$A25&amp;"*")</f>
        <v>0</v>
      </c>
      <c r="E25" s="102">
        <f t="shared" si="0"/>
        <v>0</v>
      </c>
      <c r="F25" s="103">
        <f>COUNTIF(トレード履歴!$B$2:$B$34,成績表!$A25&amp;"*")</f>
        <v>0</v>
      </c>
      <c r="G25" s="103">
        <f>COUNTIFS(トレード履歴!$M$2:$M$34,"win",トレード履歴!$B$2:$B$34,成績表!$A25&amp;"*")</f>
        <v>0</v>
      </c>
      <c r="H25" s="103">
        <f>COUNTIFS(トレード履歴!$M$2:$M$34,"loss",トレード履歴!$B$2:$B$34,成績表!$A25&amp;"*")</f>
        <v>0</v>
      </c>
      <c r="I25" s="103">
        <f>COUNTIFS(トレード履歴!$M$2:$M$34,"drw",トレード履歴!$B$2:$B$34,成績表!$A25&amp;"*")</f>
        <v>0</v>
      </c>
      <c r="J25" s="104">
        <f t="shared" si="5"/>
        <v>0</v>
      </c>
      <c r="K25" s="102">
        <f t="shared" si="1"/>
        <v>0</v>
      </c>
      <c r="L25" s="102">
        <f t="shared" si="2"/>
        <v>0</v>
      </c>
      <c r="M25" s="117">
        <f t="shared" si="6"/>
        <v>0</v>
      </c>
      <c r="N25" s="118">
        <f t="shared" si="3"/>
        <v>0</v>
      </c>
      <c r="AD25" s="102">
        <f t="shared" si="4"/>
        <v>0</v>
      </c>
    </row>
    <row r="26" spans="1:30">
      <c r="A26" s="101" t="s">
        <v>184</v>
      </c>
      <c r="B26" s="102">
        <f>SUMIFS(トレード履歴!$P$2:$P$34,トレード履歴!$M$2:$M$34,"win",トレード履歴!$B$2:$B$34,成績表!$A26&amp;"*")</f>
        <v>0</v>
      </c>
      <c r="C26" s="102">
        <f>SUMIFS(トレード履歴!$P$2:$P$34,トレード履歴!$M$2:$M$34,"loss",トレード履歴!$B$2:$B$34,成績表!$A26&amp;"*")</f>
        <v>0</v>
      </c>
      <c r="D26" s="102">
        <f>SUMIFS(トレード履歴!$P$2:$P$34,トレード履歴!$M$2:$M$34,"drw",トレード履歴!$B$2:$B$34,成績表!$A26&amp;"*")</f>
        <v>0</v>
      </c>
      <c r="E26" s="102">
        <f t="shared" si="0"/>
        <v>0</v>
      </c>
      <c r="F26" s="103">
        <f>COUNTIF(トレード履歴!$B$2:$B$34,成績表!$A26&amp;"*")</f>
        <v>0</v>
      </c>
      <c r="G26" s="103">
        <f>COUNTIFS(トレード履歴!$M$2:$M$34,"win",トレード履歴!$B$2:$B$34,成績表!$A26&amp;"*")</f>
        <v>0</v>
      </c>
      <c r="H26" s="103">
        <f>COUNTIFS(トレード履歴!$M$2:$M$34,"loss",トレード履歴!$B$2:$B$34,成績表!$A26&amp;"*")</f>
        <v>0</v>
      </c>
      <c r="I26" s="103">
        <f>COUNTIFS(トレード履歴!$M$2:$M$34,"drw",トレード履歴!$B$2:$B$34,成績表!$A26&amp;"*")</f>
        <v>0</v>
      </c>
      <c r="J26" s="104">
        <f t="shared" si="5"/>
        <v>0</v>
      </c>
      <c r="K26" s="102">
        <f t="shared" si="1"/>
        <v>0</v>
      </c>
      <c r="L26" s="102">
        <f t="shared" si="2"/>
        <v>0</v>
      </c>
      <c r="M26" s="117">
        <f t="shared" si="6"/>
        <v>0</v>
      </c>
      <c r="N26" s="118">
        <f t="shared" si="3"/>
        <v>0</v>
      </c>
      <c r="AD26" s="102">
        <f t="shared" si="4"/>
        <v>0</v>
      </c>
    </row>
    <row r="27" spans="1:30">
      <c r="A27" s="101" t="s">
        <v>185</v>
      </c>
      <c r="B27" s="102">
        <f>SUMIFS(トレード履歴!$P$2:$P$34,トレード履歴!$M$2:$M$34,"win",トレード履歴!$B$2:$B$34,成績表!$A27&amp;"*")</f>
        <v>0</v>
      </c>
      <c r="C27" s="102">
        <f>SUMIFS(トレード履歴!$P$2:$P$34,トレード履歴!$M$2:$M$34,"loss",トレード履歴!$B$2:$B$34,成績表!$A27&amp;"*")</f>
        <v>0</v>
      </c>
      <c r="D27" s="102">
        <f>SUMIFS(トレード履歴!$P$2:$P$34,トレード履歴!$M$2:$M$34,"drw",トレード履歴!$B$2:$B$34,成績表!$A27&amp;"*")</f>
        <v>0</v>
      </c>
      <c r="E27" s="102">
        <f t="shared" si="0"/>
        <v>0</v>
      </c>
      <c r="F27" s="103">
        <f>COUNTIF(トレード履歴!$B$2:$B$34,成績表!$A27&amp;"*")</f>
        <v>0</v>
      </c>
      <c r="G27" s="103">
        <f>COUNTIFS(トレード履歴!$M$2:$M$34,"win",トレード履歴!$B$2:$B$34,成績表!$A27&amp;"*")</f>
        <v>0</v>
      </c>
      <c r="H27" s="103">
        <f>COUNTIFS(トレード履歴!$M$2:$M$34,"loss",トレード履歴!$B$2:$B$34,成績表!$A27&amp;"*")</f>
        <v>0</v>
      </c>
      <c r="I27" s="103">
        <f>COUNTIFS(トレード履歴!$M$2:$M$34,"drw",トレード履歴!$B$2:$B$34,成績表!$A27&amp;"*")</f>
        <v>0</v>
      </c>
      <c r="J27" s="104">
        <f t="shared" si="5"/>
        <v>0</v>
      </c>
      <c r="K27" s="102">
        <f t="shared" si="1"/>
        <v>0</v>
      </c>
      <c r="L27" s="102">
        <f t="shared" si="2"/>
        <v>0</v>
      </c>
      <c r="M27" s="117">
        <f t="shared" si="6"/>
        <v>0</v>
      </c>
      <c r="N27" s="118">
        <f t="shared" si="3"/>
        <v>0</v>
      </c>
      <c r="AD27" s="102">
        <f t="shared" si="4"/>
        <v>0</v>
      </c>
    </row>
    <row r="28" spans="1:30">
      <c r="A28" s="101" t="s">
        <v>186</v>
      </c>
      <c r="B28" s="102">
        <f>SUMIFS(トレード履歴!$P$2:$P$34,トレード履歴!$M$2:$M$34,"win",トレード履歴!$B$2:$B$34,成績表!$A28&amp;"*")</f>
        <v>0</v>
      </c>
      <c r="C28" s="102">
        <f>SUMIFS(トレード履歴!$P$2:$P$34,トレード履歴!$M$2:$M$34,"loss",トレード履歴!$B$2:$B$34,成績表!$A28&amp;"*")</f>
        <v>0</v>
      </c>
      <c r="D28" s="102">
        <f>SUMIFS(トレード履歴!$P$2:$P$34,トレード履歴!$M$2:$M$34,"drw",トレード履歴!$B$2:$B$34,成績表!$A28&amp;"*")</f>
        <v>0</v>
      </c>
      <c r="E28" s="102">
        <f t="shared" si="0"/>
        <v>0</v>
      </c>
      <c r="F28" s="103">
        <f>COUNTIF(トレード履歴!$B$2:$B$34,成績表!$A28&amp;"*")</f>
        <v>0</v>
      </c>
      <c r="G28" s="103">
        <f>COUNTIFS(トレード履歴!$M$2:$M$34,"win",トレード履歴!$B$2:$B$34,成績表!$A28&amp;"*")</f>
        <v>0</v>
      </c>
      <c r="H28" s="103">
        <f>COUNTIFS(トレード履歴!$M$2:$M$34,"loss",トレード履歴!$B$2:$B$34,成績表!$A28&amp;"*")</f>
        <v>0</v>
      </c>
      <c r="I28" s="103">
        <f>COUNTIFS(トレード履歴!$M$2:$M$34,"drw",トレード履歴!$B$2:$B$34,成績表!$A28&amp;"*")</f>
        <v>0</v>
      </c>
      <c r="J28" s="104">
        <f t="shared" si="5"/>
        <v>0</v>
      </c>
      <c r="K28" s="102">
        <f t="shared" si="1"/>
        <v>0</v>
      </c>
      <c r="L28" s="102">
        <f t="shared" si="2"/>
        <v>0</v>
      </c>
      <c r="M28" s="117">
        <f t="shared" si="6"/>
        <v>0</v>
      </c>
      <c r="N28" s="118">
        <f t="shared" si="3"/>
        <v>0</v>
      </c>
      <c r="AD28" s="102">
        <f t="shared" si="4"/>
        <v>0</v>
      </c>
    </row>
    <row r="29" spans="1:30">
      <c r="A29" s="101" t="s">
        <v>187</v>
      </c>
      <c r="B29" s="102">
        <f>SUMIFS(トレード履歴!$P$2:$P$34,トレード履歴!$M$2:$M$34,"win",トレード履歴!$B$2:$B$34,成績表!$A29&amp;"*")</f>
        <v>0</v>
      </c>
      <c r="C29" s="102">
        <f>SUMIFS(トレード履歴!$P$2:$P$34,トレード履歴!$M$2:$M$34,"loss",トレード履歴!$B$2:$B$34,成績表!$A29&amp;"*")</f>
        <v>0</v>
      </c>
      <c r="D29" s="102">
        <f>SUMIFS(トレード履歴!$P$2:$P$34,トレード履歴!$M$2:$M$34,"drw",トレード履歴!$B$2:$B$34,成績表!$A29&amp;"*")</f>
        <v>0</v>
      </c>
      <c r="E29" s="102">
        <f t="shared" si="0"/>
        <v>0</v>
      </c>
      <c r="F29" s="103">
        <f>COUNTIF(トレード履歴!$B$2:$B$34,成績表!$A29&amp;"*")</f>
        <v>0</v>
      </c>
      <c r="G29" s="103">
        <f>COUNTIFS(トレード履歴!$M$2:$M$34,"win",トレード履歴!$B$2:$B$34,成績表!$A29&amp;"*")</f>
        <v>0</v>
      </c>
      <c r="H29" s="103">
        <f>COUNTIFS(トレード履歴!$M$2:$M$34,"loss",トレード履歴!$B$2:$B$34,成績表!$A29&amp;"*")</f>
        <v>0</v>
      </c>
      <c r="I29" s="103">
        <f>COUNTIFS(トレード履歴!$M$2:$M$34,"drw",トレード履歴!$B$2:$B$34,成績表!$A29&amp;"*")</f>
        <v>0</v>
      </c>
      <c r="J29" s="104">
        <f t="shared" si="5"/>
        <v>0</v>
      </c>
      <c r="K29" s="102">
        <f t="shared" si="1"/>
        <v>0</v>
      </c>
      <c r="L29" s="102">
        <f t="shared" si="2"/>
        <v>0</v>
      </c>
      <c r="M29" s="117">
        <f t="shared" si="6"/>
        <v>0</v>
      </c>
      <c r="N29" s="118">
        <f t="shared" si="3"/>
        <v>0</v>
      </c>
      <c r="AD29" s="102">
        <f t="shared" si="4"/>
        <v>0</v>
      </c>
    </row>
    <row r="30" spans="1:30">
      <c r="A30" s="101" t="s">
        <v>188</v>
      </c>
      <c r="B30" s="102">
        <f>SUMIFS(トレード履歴!$P$2:$P$34,トレード履歴!$M$2:$M$34,"win",トレード履歴!$B$2:$B$34,成績表!$A30&amp;"*")</f>
        <v>0</v>
      </c>
      <c r="C30" s="102">
        <f>SUMIFS(トレード履歴!$P$2:$P$34,トレード履歴!$M$2:$M$34,"loss",トレード履歴!$B$2:$B$34,成績表!$A30&amp;"*")</f>
        <v>0</v>
      </c>
      <c r="D30" s="102">
        <f>SUMIFS(トレード履歴!$P$2:$P$34,トレード履歴!$M$2:$M$34,"drw",トレード履歴!$B$2:$B$34,成績表!$A30&amp;"*")</f>
        <v>0</v>
      </c>
      <c r="E30" s="102">
        <f t="shared" si="0"/>
        <v>0</v>
      </c>
      <c r="F30" s="103">
        <f>COUNTIF(トレード履歴!$B$2:$B$34,成績表!$A30&amp;"*")</f>
        <v>0</v>
      </c>
      <c r="G30" s="103">
        <f>COUNTIFS(トレード履歴!$M$2:$M$34,"win",トレード履歴!$B$2:$B$34,成績表!$A30&amp;"*")</f>
        <v>0</v>
      </c>
      <c r="H30" s="103">
        <f>COUNTIFS(トレード履歴!$M$2:$M$34,"loss",トレード履歴!$B$2:$B$34,成績表!$A30&amp;"*")</f>
        <v>0</v>
      </c>
      <c r="I30" s="103">
        <f>COUNTIFS(トレード履歴!$M$2:$M$34,"drw",トレード履歴!$B$2:$B$34,成績表!$A30&amp;"*")</f>
        <v>0</v>
      </c>
      <c r="J30" s="104">
        <f t="shared" si="5"/>
        <v>0</v>
      </c>
      <c r="K30" s="102">
        <f t="shared" si="1"/>
        <v>0</v>
      </c>
      <c r="L30" s="102">
        <f t="shared" si="2"/>
        <v>0</v>
      </c>
      <c r="M30" s="117">
        <f t="shared" si="6"/>
        <v>0</v>
      </c>
      <c r="N30" s="118">
        <f t="shared" si="3"/>
        <v>0</v>
      </c>
      <c r="AD30" s="102">
        <f t="shared" si="4"/>
        <v>0</v>
      </c>
    </row>
    <row r="31" spans="1:30">
      <c r="A31" s="101" t="s">
        <v>189</v>
      </c>
      <c r="B31" s="102">
        <f>SUMIFS(トレード履歴!$P$2:$P$34,トレード履歴!$M$2:$M$34,"win",トレード履歴!$B$2:$B$34,成績表!$A31&amp;"*")</f>
        <v>0</v>
      </c>
      <c r="C31" s="102">
        <f>SUMIFS(トレード履歴!$P$2:$P$34,トレード履歴!$M$2:$M$34,"loss",トレード履歴!$B$2:$B$34,成績表!$A31&amp;"*")</f>
        <v>0</v>
      </c>
      <c r="D31" s="102">
        <f>SUMIFS(トレード履歴!$P$2:$P$34,トレード履歴!$M$2:$M$34,"drw",トレード履歴!$B$2:$B$34,成績表!$A31&amp;"*")</f>
        <v>0</v>
      </c>
      <c r="E31" s="102">
        <f t="shared" si="0"/>
        <v>0</v>
      </c>
      <c r="F31" s="103">
        <f>COUNTIF(トレード履歴!$B$2:$B$34,成績表!$A31&amp;"*")</f>
        <v>0</v>
      </c>
      <c r="G31" s="103">
        <f>COUNTIFS(トレード履歴!$M$2:$M$34,"win",トレード履歴!$B$2:$B$34,成績表!$A31&amp;"*")</f>
        <v>0</v>
      </c>
      <c r="H31" s="103">
        <f>COUNTIFS(トレード履歴!$M$2:$M$34,"loss",トレード履歴!$B$2:$B$34,成績表!$A31&amp;"*")</f>
        <v>0</v>
      </c>
      <c r="I31" s="103">
        <f>COUNTIFS(トレード履歴!$M$2:$M$34,"drw",トレード履歴!$B$2:$B$34,成績表!$A31&amp;"*")</f>
        <v>0</v>
      </c>
      <c r="J31" s="104">
        <f t="shared" si="5"/>
        <v>0</v>
      </c>
      <c r="K31" s="102">
        <f t="shared" si="1"/>
        <v>0</v>
      </c>
      <c r="L31" s="102">
        <f t="shared" si="2"/>
        <v>0</v>
      </c>
      <c r="M31" s="117">
        <f t="shared" si="6"/>
        <v>0</v>
      </c>
      <c r="N31" s="118">
        <f t="shared" si="3"/>
        <v>0</v>
      </c>
      <c r="AD31" s="102">
        <f t="shared" si="4"/>
        <v>0</v>
      </c>
    </row>
    <row r="32" spans="1:30">
      <c r="A32" s="101" t="s">
        <v>190</v>
      </c>
      <c r="B32" s="102">
        <f>SUMIFS(トレード履歴!$P$2:$P$34,トレード履歴!$M$2:$M$34,"win",トレード履歴!$B$2:$B$34,成績表!$A32&amp;"*")</f>
        <v>575</v>
      </c>
      <c r="C32" s="102">
        <f>SUMIFS(トレード履歴!$P$2:$P$34,トレード履歴!$M$2:$M$34,"loss",トレード履歴!$B$2:$B$34,成績表!$A32&amp;"*")</f>
        <v>0</v>
      </c>
      <c r="D32" s="102">
        <f>SUMIFS(トレード履歴!$P$2:$P$34,トレード履歴!$M$2:$M$34,"drw",トレード履歴!$B$2:$B$34,成績表!$A32&amp;"*")</f>
        <v>0</v>
      </c>
      <c r="E32" s="102">
        <f t="shared" si="0"/>
        <v>575</v>
      </c>
      <c r="F32" s="103">
        <f>COUNTIF(トレード履歴!$B$2:$B$34,成績表!$A32&amp;"*")</f>
        <v>1</v>
      </c>
      <c r="G32" s="103">
        <f>COUNTIFS(トレード履歴!$M$2:$M$34,"win",トレード履歴!$B$2:$B$34,成績表!$A32&amp;"*")</f>
        <v>1</v>
      </c>
      <c r="H32" s="103">
        <f>COUNTIFS(トレード履歴!$M$2:$M$34,"loss",トレード履歴!$B$2:$B$34,成績表!$A32&amp;"*")</f>
        <v>0</v>
      </c>
      <c r="I32" s="103">
        <f>COUNTIFS(トレード履歴!$M$2:$M$34,"drw",トレード履歴!$B$2:$B$34,成績表!$A32&amp;"*")</f>
        <v>0</v>
      </c>
      <c r="J32" s="104">
        <f t="shared" si="5"/>
        <v>1</v>
      </c>
      <c r="K32" s="102">
        <f t="shared" si="1"/>
        <v>575</v>
      </c>
      <c r="L32" s="102">
        <f t="shared" si="2"/>
        <v>0</v>
      </c>
      <c r="M32" s="117">
        <f t="shared" si="6"/>
        <v>0</v>
      </c>
      <c r="N32" s="118">
        <f t="shared" si="3"/>
        <v>0</v>
      </c>
      <c r="AD32" s="102">
        <f t="shared" si="4"/>
        <v>0</v>
      </c>
    </row>
    <row r="33" spans="1:30">
      <c r="A33" s="101" t="s">
        <v>191</v>
      </c>
      <c r="B33" s="102">
        <f>SUMIFS(トレード履歴!$P$2:$P$34,トレード履歴!$M$2:$M$34,"win",トレード履歴!$B$2:$B$34,成績表!$A33&amp;"*")</f>
        <v>0</v>
      </c>
      <c r="C33" s="102">
        <f>SUMIFS(トレード履歴!$P$2:$P$34,トレード履歴!$M$2:$M$34,"loss",トレード履歴!$B$2:$B$34,成績表!$A33&amp;"*")</f>
        <v>0</v>
      </c>
      <c r="D33" s="102">
        <f>SUMIFS(トレード履歴!$P$2:$P$34,トレード履歴!$M$2:$M$34,"drw",トレード履歴!$B$2:$B$34,成績表!$A33&amp;"*")</f>
        <v>0</v>
      </c>
      <c r="E33" s="102">
        <f t="shared" si="0"/>
        <v>0</v>
      </c>
      <c r="F33" s="103">
        <f>COUNTIF(トレード履歴!$B$2:$B$34,成績表!$A33&amp;"*")</f>
        <v>0</v>
      </c>
      <c r="G33" s="103">
        <f>COUNTIFS(トレード履歴!$M$2:$M$34,"win",トレード履歴!$B$2:$B$34,成績表!$A33&amp;"*")</f>
        <v>0</v>
      </c>
      <c r="H33" s="103">
        <f>COUNTIFS(トレード履歴!$M$2:$M$34,"loss",トレード履歴!$B$2:$B$34,成績表!$A33&amp;"*")</f>
        <v>0</v>
      </c>
      <c r="I33" s="103">
        <f>COUNTIFS(トレード履歴!$M$2:$M$34,"drw",トレード履歴!$B$2:$B$34,成績表!$A33&amp;"*")</f>
        <v>0</v>
      </c>
      <c r="J33" s="104">
        <f t="shared" si="5"/>
        <v>0</v>
      </c>
      <c r="K33" s="102">
        <f t="shared" si="1"/>
        <v>0</v>
      </c>
      <c r="L33" s="102">
        <f t="shared" si="2"/>
        <v>0</v>
      </c>
      <c r="M33" s="117">
        <f t="shared" si="6"/>
        <v>0</v>
      </c>
      <c r="N33" s="118">
        <f t="shared" si="3"/>
        <v>0</v>
      </c>
      <c r="AD33" s="102">
        <f t="shared" si="4"/>
        <v>0</v>
      </c>
    </row>
    <row r="34" spans="1:30">
      <c r="A34" s="101" t="s">
        <v>192</v>
      </c>
      <c r="B34" s="102">
        <f>SUMIFS(トレード履歴!$P$2:$P$34,トレード履歴!$M$2:$M$34,"win",トレード履歴!$B$2:$B$34,成績表!$A34&amp;"*")</f>
        <v>0</v>
      </c>
      <c r="C34" s="102">
        <f>SUMIFS(トレード履歴!$P$2:$P$34,トレード履歴!$M$2:$M$34,"loss",トレード履歴!$B$2:$B$34,成績表!$A34&amp;"*")</f>
        <v>0</v>
      </c>
      <c r="D34" s="102">
        <f>SUMIFS(トレード履歴!$P$2:$P$34,トレード履歴!$M$2:$M$34,"drw",トレード履歴!$B$2:$B$34,成績表!$A34&amp;"*")</f>
        <v>0</v>
      </c>
      <c r="E34" s="102">
        <f t="shared" si="0"/>
        <v>0</v>
      </c>
      <c r="F34" s="103">
        <f>COUNTIF(トレード履歴!$B$2:$B$34,成績表!$A34&amp;"*")</f>
        <v>0</v>
      </c>
      <c r="G34" s="103">
        <f>COUNTIFS(トレード履歴!$M$2:$M$34,"win",トレード履歴!$B$2:$B$34,成績表!$A34&amp;"*")</f>
        <v>0</v>
      </c>
      <c r="H34" s="103">
        <f>COUNTIFS(トレード履歴!$M$2:$M$34,"loss",トレード履歴!$B$2:$B$34,成績表!$A34&amp;"*")</f>
        <v>0</v>
      </c>
      <c r="I34" s="103">
        <f>COUNTIFS(トレード履歴!$M$2:$M$34,"drw",トレード履歴!$B$2:$B$34,成績表!$A34&amp;"*")</f>
        <v>0</v>
      </c>
      <c r="J34" s="104">
        <f t="shared" si="5"/>
        <v>0</v>
      </c>
      <c r="K34" s="102">
        <f t="shared" si="1"/>
        <v>0</v>
      </c>
      <c r="L34" s="102">
        <f t="shared" si="2"/>
        <v>0</v>
      </c>
      <c r="M34" s="117">
        <f t="shared" si="6"/>
        <v>0</v>
      </c>
      <c r="N34" s="118">
        <f t="shared" si="3"/>
        <v>0</v>
      </c>
      <c r="AD34" s="102">
        <f t="shared" si="4"/>
        <v>0</v>
      </c>
    </row>
    <row r="35" spans="1:30">
      <c r="A35" s="101" t="s">
        <v>193</v>
      </c>
      <c r="B35" s="102">
        <f>SUMIFS(トレード履歴!$P$2:$P$34,トレード履歴!$M$2:$M$34,"win",トレード履歴!$B$2:$B$34,成績表!$A35&amp;"*")</f>
        <v>0</v>
      </c>
      <c r="C35" s="102">
        <f>SUMIFS(トレード履歴!$P$2:$P$34,トレード履歴!$M$2:$M$34,"loss",トレード履歴!$B$2:$B$34,成績表!$A35&amp;"*")</f>
        <v>0</v>
      </c>
      <c r="D35" s="102">
        <f>SUMIFS(トレード履歴!$P$2:$P$34,トレード履歴!$M$2:$M$34,"drw",トレード履歴!$B$2:$B$34,成績表!$A35&amp;"*")</f>
        <v>0</v>
      </c>
      <c r="E35" s="102">
        <f t="shared" si="0"/>
        <v>0</v>
      </c>
      <c r="F35" s="103">
        <f>COUNTIF(トレード履歴!$B$2:$B$34,成績表!$A35&amp;"*")</f>
        <v>0</v>
      </c>
      <c r="G35" s="103">
        <f>COUNTIFS(トレード履歴!$M$2:$M$34,"win",トレード履歴!$B$2:$B$34,成績表!$A35&amp;"*")</f>
        <v>0</v>
      </c>
      <c r="H35" s="103">
        <f>COUNTIFS(トレード履歴!$M$2:$M$34,"loss",トレード履歴!$B$2:$B$34,成績表!$A35&amp;"*")</f>
        <v>0</v>
      </c>
      <c r="I35" s="103">
        <f>COUNTIFS(トレード履歴!$M$2:$M$34,"drw",トレード履歴!$B$2:$B$34,成績表!$A35&amp;"*")</f>
        <v>0</v>
      </c>
      <c r="J35" s="104">
        <f t="shared" si="5"/>
        <v>0</v>
      </c>
      <c r="K35" s="102">
        <f t="shared" si="1"/>
        <v>0</v>
      </c>
      <c r="L35" s="102">
        <f t="shared" si="2"/>
        <v>0</v>
      </c>
      <c r="M35" s="117">
        <f t="shared" si="6"/>
        <v>0</v>
      </c>
      <c r="N35" s="118">
        <f t="shared" si="3"/>
        <v>0</v>
      </c>
      <c r="AD35" s="102">
        <f t="shared" si="4"/>
        <v>0</v>
      </c>
    </row>
    <row r="36" spans="1:30">
      <c r="A36" s="105" t="s">
        <v>194</v>
      </c>
      <c r="B36" s="102">
        <f>SUMIFS(トレード履歴!$P$2:$P$34,トレード履歴!$M$2:$M$34,"win",トレード履歴!$B$2:$B$34,成績表!$A36&amp;"*")</f>
        <v>0</v>
      </c>
      <c r="C36" s="102">
        <f>SUMIFS(トレード履歴!$P$2:$P$34,トレード履歴!$M$2:$M$34,"loss",トレード履歴!$B$2:$B$34,成績表!$A36&amp;"*")</f>
        <v>0</v>
      </c>
      <c r="D36" s="102">
        <f>SUMIFS(トレード履歴!$P$2:$P$34,トレード履歴!$M$2:$M$34,"drw",トレード履歴!$B$2:$B$34,成績表!$A36&amp;"*")</f>
        <v>0</v>
      </c>
      <c r="E36" s="102">
        <f t="shared" si="0"/>
        <v>0</v>
      </c>
      <c r="F36" s="103">
        <f>COUNTIF(トレード履歴!$B$2:$B$34,成績表!$A36&amp;"*")</f>
        <v>0</v>
      </c>
      <c r="G36" s="103">
        <f>COUNTIFS(トレード履歴!$M$2:$M$34,"win",トレード履歴!$B$2:$B$34,成績表!$A36&amp;"*")</f>
        <v>0</v>
      </c>
      <c r="H36" s="103">
        <f>COUNTIFS(トレード履歴!$M$2:$M$34,"loss",トレード履歴!$B$2:$B$34,成績表!$A36&amp;"*")</f>
        <v>0</v>
      </c>
      <c r="I36" s="103">
        <f>COUNTIFS(トレード履歴!$M$2:$M$34,"drw",トレード履歴!$B$2:$B$34,成績表!$A36&amp;"*")</f>
        <v>0</v>
      </c>
      <c r="J36" s="106">
        <f t="shared" si="5"/>
        <v>0</v>
      </c>
      <c r="K36" s="107">
        <f t="shared" si="1"/>
        <v>0</v>
      </c>
      <c r="L36" s="107">
        <f t="shared" si="2"/>
        <v>0</v>
      </c>
      <c r="M36" s="119">
        <f>IF(AND(K36&lt;&gt;0,L36&lt;&gt;0),K36/L36,0)</f>
        <v>0</v>
      </c>
      <c r="N36" s="120">
        <f t="shared" si="3"/>
        <v>0</v>
      </c>
      <c r="AD36" s="102">
        <f t="shared" si="4"/>
        <v>0</v>
      </c>
    </row>
    <row r="37" spans="1:30">
      <c r="A37" s="108" t="s">
        <v>160</v>
      </c>
      <c r="B37" s="109">
        <f t="shared" ref="B37:I37" si="7">SUM(B9:B36)</f>
        <v>2244</v>
      </c>
      <c r="C37" s="109">
        <f t="shared" si="7"/>
        <v>0</v>
      </c>
      <c r="D37" s="109">
        <f t="shared" si="7"/>
        <v>0</v>
      </c>
      <c r="E37" s="109">
        <f t="shared" si="7"/>
        <v>2244</v>
      </c>
      <c r="F37" s="110">
        <f t="shared" si="7"/>
        <v>4</v>
      </c>
      <c r="G37" s="110">
        <f t="shared" si="7"/>
        <v>4</v>
      </c>
      <c r="H37" s="110">
        <f t="shared" si="7"/>
        <v>0</v>
      </c>
      <c r="I37" s="110">
        <f t="shared" si="7"/>
        <v>0</v>
      </c>
      <c r="J37" s="111"/>
      <c r="K37" s="187" t="s">
        <v>161</v>
      </c>
      <c r="L37" s="188"/>
      <c r="M37" s="188"/>
      <c r="N37" s="189"/>
      <c r="AD37" s="109"/>
    </row>
    <row r="38" spans="1:30" ht="36">
      <c r="A38" s="90"/>
      <c r="B38" s="112"/>
      <c r="C38" s="90"/>
      <c r="D38" s="90"/>
      <c r="E38" s="90"/>
      <c r="F38" s="90"/>
      <c r="G38" s="90"/>
      <c r="H38" s="190" t="s">
        <v>162</v>
      </c>
      <c r="I38" s="191"/>
      <c r="J38" s="113">
        <f>AVERAGE(J9:J36)</f>
        <v>0.14285714285714285</v>
      </c>
      <c r="K38" s="108" t="s">
        <v>156</v>
      </c>
      <c r="L38" s="108" t="s">
        <v>157</v>
      </c>
      <c r="M38" s="114" t="s">
        <v>163</v>
      </c>
      <c r="N38" s="114" t="s">
        <v>159</v>
      </c>
      <c r="AD38" s="90"/>
    </row>
    <row r="39" spans="1:30">
      <c r="A39" s="90"/>
      <c r="B39" s="90"/>
      <c r="C39" s="90"/>
      <c r="D39" s="90"/>
      <c r="E39" s="90"/>
      <c r="F39" s="90"/>
      <c r="G39" s="90"/>
      <c r="H39" s="191" t="s">
        <v>164</v>
      </c>
      <c r="I39" s="191"/>
      <c r="J39" s="113">
        <f>G37/F37</f>
        <v>1</v>
      </c>
      <c r="K39" s="109">
        <f>AVERAGE(K9:K36)</f>
        <v>80.142857142857139</v>
      </c>
      <c r="L39" s="109">
        <f>AVERAGE(L9:L36)</f>
        <v>0</v>
      </c>
      <c r="M39" s="121">
        <f>IF(AND(K39&lt;&gt;0,L39&lt;&gt;0),K39/L39,0)</f>
        <v>0</v>
      </c>
      <c r="N39" s="121">
        <f>IF(AND(B37&lt;&gt;0,C37&lt;&gt;0),B37/C37,0)</f>
        <v>0</v>
      </c>
      <c r="AD39" s="90"/>
    </row>
    <row r="43" spans="1:30" ht="17.25">
      <c r="A43" s="122" t="s">
        <v>197</v>
      </c>
      <c r="B43" s="90"/>
      <c r="C43" s="90"/>
      <c r="D43" s="90"/>
      <c r="E43" s="90"/>
      <c r="F43" s="90"/>
      <c r="G43" s="90"/>
      <c r="H43" s="90"/>
      <c r="I43" s="90"/>
      <c r="J43" s="90"/>
      <c r="K43" s="90"/>
      <c r="L43" s="90"/>
      <c r="M43" s="90"/>
      <c r="N43" s="90"/>
    </row>
    <row r="44" spans="1:30">
      <c r="A44" s="90"/>
      <c r="B44" s="90"/>
      <c r="C44" s="90"/>
      <c r="D44" s="90"/>
      <c r="E44" s="90"/>
      <c r="F44" s="90"/>
      <c r="G44" s="90"/>
      <c r="H44" s="90"/>
      <c r="I44" s="90"/>
      <c r="J44" s="90"/>
      <c r="K44" s="90"/>
      <c r="L44" s="90"/>
      <c r="M44" s="90"/>
      <c r="N44" s="90"/>
    </row>
    <row r="45" spans="1:30" ht="36">
      <c r="A45" s="123" t="s">
        <v>198</v>
      </c>
      <c r="B45" s="123" t="s">
        <v>199</v>
      </c>
      <c r="C45" s="123" t="s">
        <v>200</v>
      </c>
      <c r="D45" s="123" t="s">
        <v>201</v>
      </c>
      <c r="E45" s="124" t="s">
        <v>202</v>
      </c>
      <c r="F45" s="123" t="s">
        <v>203</v>
      </c>
      <c r="G45" s="123" t="s">
        <v>204</v>
      </c>
      <c r="H45" s="123" t="s">
        <v>205</v>
      </c>
      <c r="I45" s="123" t="s">
        <v>206</v>
      </c>
      <c r="J45" s="123" t="s">
        <v>156</v>
      </c>
      <c r="K45" s="123" t="s">
        <v>157</v>
      </c>
      <c r="L45" s="124" t="s">
        <v>212</v>
      </c>
      <c r="M45" s="124" t="s">
        <v>213</v>
      </c>
      <c r="N45" s="124" t="s">
        <v>176</v>
      </c>
      <c r="O45" s="124" t="s">
        <v>207</v>
      </c>
    </row>
    <row r="46" spans="1:30">
      <c r="A46" s="125" t="e">
        <f>DATE(YEAR(C4),MONTH(C4),1)</f>
        <v>#REF!</v>
      </c>
      <c r="B46" s="90">
        <f>SUMIFS(トレード履歴!$P$2:$P$34,トレード履歴!$M$2:$M$34,"win",トレード履歴!$J$2:$J$34,"&lt;"&amp;A47)</f>
        <v>0</v>
      </c>
      <c r="C46" s="90">
        <f>SUMIFS(トレード履歴!$P$2:$P$34,トレード履歴!$M$2:$M$34,"loss",トレード履歴!$J$2:$J$34,"&lt;"&amp;A47)</f>
        <v>0</v>
      </c>
      <c r="D46" s="90">
        <f t="shared" ref="D46:D63" si="8">SUM(B46:C46)</f>
        <v>0</v>
      </c>
      <c r="E46" s="90">
        <f>COUNTIF(トレード履歴!$J$2:$J$34,"&lt;"&amp;A47)</f>
        <v>0</v>
      </c>
      <c r="F46" s="90">
        <f>COUNTIFS(トレード履歴!$M$2:$M$34,"win",トレード履歴!$J$2:$J$34,"&lt;"&amp;$A47)</f>
        <v>0</v>
      </c>
      <c r="G46" s="90">
        <f>COUNTIFS(トレード履歴!$M$2:$M$34,"loss",トレード履歴!$J$2:$J$34,"&lt;"&amp;$A47)</f>
        <v>0</v>
      </c>
      <c r="H46" s="90">
        <f>COUNTIFS(トレード履歴!$M$2:$M$34,"drw",トレード履歴!$J$2:$J$34,"&lt;"&amp;$A47)</f>
        <v>0</v>
      </c>
      <c r="I46" s="126" t="str">
        <f>IF(E46&lt;&gt;0,F46/E46,"")</f>
        <v/>
      </c>
      <c r="J46" s="127">
        <f t="shared" ref="J46:J63" si="9">IF(B46&lt;&gt;0,B46/F46,0)</f>
        <v>0</v>
      </c>
      <c r="K46" s="127">
        <f t="shared" ref="K46:K63" si="10">IF(C46&lt;&gt;0,C46/G46,0)</f>
        <v>0</v>
      </c>
      <c r="L46" s="90">
        <f>IF(AND(J46&lt;&gt;0,K46&lt;&gt;0),J46/K46,0)</f>
        <v>0</v>
      </c>
      <c r="M46" s="90">
        <f t="shared" ref="M46:M63" si="11">IF(AND(B46&lt;&gt;0,C46&lt;&gt;0),B46/C46,0)</f>
        <v>0</v>
      </c>
      <c r="N46" s="90">
        <f>SUMIFS(トレード履歴!$P$2:$P$34,トレード履歴!$M$2:$M$34,"drw",トレード履歴!$J$2:$J$34,"&lt;"&amp;A47)</f>
        <v>0</v>
      </c>
      <c r="O46" s="127">
        <f>SUM($C$2,$D46)</f>
        <v>500000</v>
      </c>
    </row>
    <row r="47" spans="1:30">
      <c r="A47" s="125" t="e">
        <f>IF(A45&lt;&gt;"",DATE(YEAR(A46),MONTH(A46)+1,1),"")</f>
        <v>#REF!</v>
      </c>
      <c r="B47" s="90">
        <f>SUMIFS(トレード履歴!$P$2:$P$34,トレード履歴!$M$2:$M$34,"win",トレード履歴!$J$2:$J$34,"&lt;"&amp;A48)-B46</f>
        <v>0</v>
      </c>
      <c r="C47" s="90">
        <f>SUMIFS(トレード履歴!$P$2:$P$34,トレード履歴!$M$2:$M$34,"loss",トレード履歴!$J$2:$J$34,"&lt;"&amp;A48)-C46</f>
        <v>0</v>
      </c>
      <c r="D47" s="90">
        <f t="shared" si="8"/>
        <v>0</v>
      </c>
      <c r="E47" s="90" t="e">
        <f>IF(A47&lt;&gt;"",COUNTIF(トレード履歴!$J$2:$J$34,"&lt;"&amp;IF(A48&lt;&gt;"",A48,DATE(YEAR(A47),MONTH(A47),DAY(EOMONTH(A47,0)))))-SUM($E$46:$E46),0)</f>
        <v>#REF!</v>
      </c>
      <c r="F47" s="90">
        <f>COUNTIFS(トレード履歴!$M$2:$M$34,"win",トレード履歴!$J$2:$J$34,"&lt;"&amp;$A48)-F46</f>
        <v>0</v>
      </c>
      <c r="G47" s="90">
        <f>COUNTIFS(トレード履歴!$M$2:$M$34,"loss",トレード履歴!$J$2:$J$34,"&lt;"&amp;$A48)-G46</f>
        <v>0</v>
      </c>
      <c r="H47" s="90">
        <f>COUNTIFS(トレード履歴!$M$2:$M$34,"drw",トレード履歴!$J$2:$J$34,"&lt;"&amp;$A48)-H46</f>
        <v>0</v>
      </c>
      <c r="I47" s="126" t="e">
        <f>IF(E47&lt;&gt;0,F47/E47,0)</f>
        <v>#REF!</v>
      </c>
      <c r="J47" s="127">
        <f t="shared" si="9"/>
        <v>0</v>
      </c>
      <c r="K47" s="127">
        <f t="shared" si="10"/>
        <v>0</v>
      </c>
      <c r="L47" s="90">
        <f>IF(AND(J47&lt;&gt;0,K47&lt;&gt;0),J47/K47,0)</f>
        <v>0</v>
      </c>
      <c r="M47" s="90">
        <f t="shared" si="11"/>
        <v>0</v>
      </c>
      <c r="N47" s="90">
        <f>SUMIFS(トレード履歴!$P$2:$P$34,トレード履歴!$M$2:$M$34,"drw",トレード履歴!$J$2:$J$34,"&lt;"&amp;A48)-N46</f>
        <v>0</v>
      </c>
      <c r="O47" s="127">
        <f t="shared" ref="O47:O63" si="12">SUM(O46,$D47)</f>
        <v>500000</v>
      </c>
    </row>
    <row r="48" spans="1:30">
      <c r="A48" s="125" t="e">
        <f t="shared" ref="A48:A63" si="13">IF(A46&lt;&gt;"",DATE(YEAR(A47),MONTH(A47)+1,1),"")</f>
        <v>#REF!</v>
      </c>
      <c r="B48" s="90" t="e">
        <f>IF(E48&gt;0,SUMIFS(トレード履歴!$P$2:$P$34,トレード履歴!$M$2:$M$34,"win",トレード履歴!$J$2:$J$34,"&lt;"&amp;IF(A49&lt;&gt;"",A49,DATE(YEAR(A48),MONTH(A48),DAY(EOMONTH(A48,0)))))-SUM($B$44:$B47),0)</f>
        <v>#REF!</v>
      </c>
      <c r="C48" s="90" t="e">
        <f>IF(E48&gt;0,SUMIFS(トレード履歴!$P$2:$P$34,トレード履歴!$M$2:$M$34,"loss",トレード履歴!$J$2:$J$34,"&lt;"&amp;IF(A49&lt;&gt;"",A49,DATE(YEAR(A48),MONTH(A48),DAY(EOMONTH(A48,0)))))-SUM($C$46:$C47),0)</f>
        <v>#REF!</v>
      </c>
      <c r="D48" s="90" t="e">
        <f t="shared" si="8"/>
        <v>#REF!</v>
      </c>
      <c r="E48" s="90" t="e">
        <f>IF(A48&lt;&gt;"",COUNTIF(トレード履歴!$J$2:$J$34,"&lt;"&amp;IF(A49&lt;&gt;"",A49,DATE(YEAR(A48),MONTH(A48),DAY(EOMONTH(A48,0)))))-SUM($E$46:$E47),0)</f>
        <v>#REF!</v>
      </c>
      <c r="F48" s="90" t="e">
        <f>IF(A49&lt;&gt;"",COUNTIFS(トレード履歴!$M$2:$M$34,"win",トレード履歴!$J$2:$J$34,"&lt;"&amp;IF(A49&lt;&gt;"",A49,DATE(YEAR(A48),MONTH(A48),DAY(EOMONTH(A48,0)))))-SUM($F$46:$F47),0)</f>
        <v>#REF!</v>
      </c>
      <c r="G48" s="90" t="e">
        <f>IF(A49&lt;&gt;"",COUNTIFS(トレード履歴!$M$2:$M$34,"loss",トレード履歴!$J$2:$J$34,"&lt;"&amp;IF(A49&lt;&gt;"",A49,DATE(YEAR(A48),MONTH(A48),DAY(EOMONTH(A48,0)))))-SUM($G$46:$G47),0)</f>
        <v>#REF!</v>
      </c>
      <c r="H48" s="90">
        <f>COUNTIFS(トレード履歴!$M$2:$M$34,"drw",トレード履歴!$J$2:$J$34,"&lt;"&amp;IF(A49&lt;&gt;"",A49,DATE(YEAR(A48),MONTH(A48),DAY(EOMONTH(A48,0)))))-SUM($H$46:$H47)</f>
        <v>0</v>
      </c>
      <c r="I48" s="126" t="e">
        <f t="shared" ref="I48:I63" si="14">IF(E48&lt;&gt;0,F48/E48,0)</f>
        <v>#REF!</v>
      </c>
      <c r="J48" s="127" t="e">
        <f t="shared" si="9"/>
        <v>#REF!</v>
      </c>
      <c r="K48" s="127" t="e">
        <f t="shared" si="10"/>
        <v>#REF!</v>
      </c>
      <c r="L48" s="90" t="e">
        <f t="shared" ref="L48:L63" si="15">IF(AND(J48&lt;&gt;0,K48&lt;&gt;0),J48/K48,0)</f>
        <v>#REF!</v>
      </c>
      <c r="M48" s="90" t="e">
        <f t="shared" si="11"/>
        <v>#REF!</v>
      </c>
      <c r="N48" s="90" t="e">
        <f>IF(E48&gt;0,SUMIFS(トレード履歴!$P$2:$P$34,トレード履歴!$M$2:$M$34,"drw",トレード履歴!$J$2:$J$34,"&lt;"&amp;IF(A49&lt;&gt;"",A49,DATE(YEAR(A48),MONTH(A48),DAY(EOMONTH(A48,0)))))-SUM($N$46:$N47),0)</f>
        <v>#REF!</v>
      </c>
      <c r="O48" s="127" t="e">
        <f t="shared" si="12"/>
        <v>#REF!</v>
      </c>
    </row>
    <row r="49" spans="1:15">
      <c r="A49" s="125" t="e">
        <f t="shared" si="13"/>
        <v>#REF!</v>
      </c>
      <c r="B49" s="90" t="e">
        <f>IF(E49&gt;0,SUMIFS(トレード履歴!$P$2:$P$34,トレード履歴!$M$2:$M$34,"win",トレード履歴!$J$2:$J34,"&lt;"&amp;IF(A50&lt;&gt;"",A50,DATE(YEAR(A49),MONTH(A49),DAY(EOMONTH(A49,0)))))-SUM($B$44:$B48),0)</f>
        <v>#REF!</v>
      </c>
      <c r="C49" s="90" t="e">
        <f>IF(E49&gt;0,SUMIFS(トレード履歴!$P$2:$P$34,トレード履歴!$M$2:$M$34,"loss",トレード履歴!$J$2:$J$34,"&lt;"&amp;IF(A50&lt;&gt;"",A50,DATE(YEAR(A49),MONTH(A49),DAY(EOMONTH(A49,0)))))-SUM($C$46:$C48),0)</f>
        <v>#REF!</v>
      </c>
      <c r="D49" s="90" t="e">
        <f t="shared" si="8"/>
        <v>#REF!</v>
      </c>
      <c r="E49" s="90" t="e">
        <f>IF(A49&lt;&gt;"",COUNTIF(トレード履歴!$J$2:$J$34,"&lt;"&amp;IF(A50&lt;&gt;"",A50,DATE(YEAR(A49),MONTH(A49),DAY(EOMONTH(A49,0)))))-SUM($E$46:$E48),0)</f>
        <v>#REF!</v>
      </c>
      <c r="F49" s="90" t="e">
        <f>IF(A50&lt;&gt;"",COUNTIFS(トレード履歴!$M$2:$M$34,"win",トレード履歴!$J$2:$J$34,"&lt;"&amp;IF(A50&lt;&gt;"",A50,DATE(YEAR(A49),MONTH(A49),DAY(EOMONTH(A49,0)))))-SUM($F$46:$F48),0)</f>
        <v>#REF!</v>
      </c>
      <c r="G49" s="90" t="e">
        <f>IF(A50&lt;&gt;"",COUNTIFS(トレード履歴!$M$2:$M$34,"loss",トレード履歴!$J$2:$J$34,"&lt;"&amp;IF(A50&lt;&gt;"",A50,DATE(YEAR(A49),MONTH(A49),DAY(EOMONTH(A49,0)))))-SUM($G$46:$G48),0)</f>
        <v>#REF!</v>
      </c>
      <c r="H49" s="90">
        <f>COUNTIFS(トレード履歴!$M$2:$M$34,"drw",トレード履歴!$J$2:$J$34,"&lt;"&amp;IF(A50&lt;&gt;"",A50,DATE(YEAR(A49),MONTH(A49),DAY(EOMONTH(A49,0)))))-SUM($H$46:$H48)</f>
        <v>0</v>
      </c>
      <c r="I49" s="126" t="e">
        <f t="shared" si="14"/>
        <v>#REF!</v>
      </c>
      <c r="J49" s="127" t="e">
        <f t="shared" si="9"/>
        <v>#REF!</v>
      </c>
      <c r="K49" s="127" t="e">
        <f t="shared" si="10"/>
        <v>#REF!</v>
      </c>
      <c r="L49" s="90" t="e">
        <f t="shared" si="15"/>
        <v>#REF!</v>
      </c>
      <c r="M49" s="90" t="e">
        <f t="shared" si="11"/>
        <v>#REF!</v>
      </c>
      <c r="N49" s="90" t="e">
        <f>IF(E49&gt;0,SUMIFS(トレード履歴!$P$2:$P$34,トレード履歴!$M$2:$M$34,"drw",トレード履歴!$J$2:$J$34,"&lt;"&amp;IF(A50&lt;&gt;"",A50,DATE(YEAR(A49),MONTH(A49),DAY(EOMONTH(A49,0)))))-SUM($C$46:$C48),0)</f>
        <v>#REF!</v>
      </c>
      <c r="O49" s="127" t="e">
        <f t="shared" si="12"/>
        <v>#REF!</v>
      </c>
    </row>
    <row r="50" spans="1:15">
      <c r="A50" s="125" t="e">
        <f t="shared" si="13"/>
        <v>#REF!</v>
      </c>
      <c r="B50" s="90" t="e">
        <f>IF(E50&gt;0,SUMIFS(トレード履歴!$P$2:$P$34,トレード履歴!$M$2:$M$34,"win",トレード履歴!$J$2:$J34,"&lt;"&amp;IF(A51&lt;&gt;"",A51,DATE(YEAR(A50),MONTH(A50),DAY(EOMONTH(A50,0)))))-SUM($B$44:$B49),0)</f>
        <v>#REF!</v>
      </c>
      <c r="C50" s="90" t="e">
        <f>IF(E50&gt;0,SUMIFS(トレード履歴!$P$2:$P$34,トレード履歴!$M$2:$M$34,"loss",トレード履歴!$J$2:$J$34,"&lt;"&amp;IF(A51&lt;&gt;"",A51,DATE(YEAR(A50),MONTH(A50),DAY(EOMONTH(A50,0)))))-SUM($C$46:$C49),0)</f>
        <v>#REF!</v>
      </c>
      <c r="D50" s="90" t="e">
        <f t="shared" si="8"/>
        <v>#REF!</v>
      </c>
      <c r="E50" s="90" t="e">
        <f>IF(A50&lt;&gt;"",COUNTIF(トレード履歴!$J$2:$J$34,"&lt;"&amp;IF(A51&lt;&gt;"",A51,DATE(YEAR(A50),MONTH(A50),DAY(EOMONTH(A50,0)))))-SUM($E$46:$E49),0)</f>
        <v>#REF!</v>
      </c>
      <c r="F50" s="90" t="e">
        <f>IF(A51&lt;&gt;"",COUNTIFS(トレード履歴!$M$2:$M$34,"win",トレード履歴!$J$2:$J$34,"&lt;"&amp;IF(A51&lt;&gt;"",A51,DATE(YEAR(A50),MONTH(A50),DAY(EOMONTH(A50,0)))))-SUM($F$46:$F49),0)</f>
        <v>#REF!</v>
      </c>
      <c r="G50" s="90" t="e">
        <f>IF(A51&lt;&gt;"",COUNTIFS(トレード履歴!$M$2:$M$34,"loss",トレード履歴!$J$2:$J$34,"&lt;"&amp;IF(A51&lt;&gt;"",A51,DATE(YEAR(A50),MONTH(A50),DAY(EOMONTH(A50,0)))))-SUM($G$46:$G49),0)</f>
        <v>#REF!</v>
      </c>
      <c r="H50" s="90">
        <f>COUNTIFS(トレード履歴!$M$2:$M$34,"drw",トレード履歴!$J$2:$J$34,"&lt;"&amp;IF(A51&lt;&gt;"",A51,DATE(YEAR(A50),MONTH(A50),DAY(EOMONTH(A50,0)))))-SUM($H$46:$H49)</f>
        <v>0</v>
      </c>
      <c r="I50" s="126" t="e">
        <f t="shared" si="14"/>
        <v>#REF!</v>
      </c>
      <c r="J50" s="127" t="e">
        <f t="shared" si="9"/>
        <v>#REF!</v>
      </c>
      <c r="K50" s="127" t="e">
        <f t="shared" si="10"/>
        <v>#REF!</v>
      </c>
      <c r="L50" s="90" t="e">
        <f t="shared" si="15"/>
        <v>#REF!</v>
      </c>
      <c r="M50" s="90" t="e">
        <f t="shared" si="11"/>
        <v>#REF!</v>
      </c>
      <c r="N50" s="90" t="e">
        <f>IF(E50&gt;0,SUMIFS(トレード履歴!$P$2:$P$34,トレード履歴!$M$2:$M$34,"drw",トレード履歴!$R$2:$R$34,"&lt;"&amp;IF(A51&lt;&gt;"",A51,DATE(YEAR(A50),MONTH(A50),DAY(EOMONTH(A50,0)))))-SUM($C$46:$C49),0)</f>
        <v>#REF!</v>
      </c>
      <c r="O50" s="127" t="e">
        <f t="shared" si="12"/>
        <v>#REF!</v>
      </c>
    </row>
    <row r="51" spans="1:15">
      <c r="A51" s="125" t="e">
        <f t="shared" si="13"/>
        <v>#REF!</v>
      </c>
      <c r="B51" s="90" t="e">
        <f>IF(E51&gt;0,SUMIFS(トレード履歴!$P$2:$P$34,トレード履歴!$M$2:$M$34,"win",トレード履歴!$J$2:$J34,"&lt;"&amp;IF(A52&lt;&gt;"",A52,DATE(YEAR(A51),MONTH(A51),DAY(EOMONTH(A51,0)))))-SUM($B$44:$B50),0)</f>
        <v>#REF!</v>
      </c>
      <c r="C51" s="90" t="e">
        <f>IF(E51&gt;0,SUMIFS(トレード履歴!$P$2:$P$34,トレード履歴!$M$2:$M$34,"loss",トレード履歴!$J$2:$J$34,"&lt;"&amp;IF(A52&lt;&gt;"",A52,DATE(YEAR(A51),MONTH(A51),DAY(EOMONTH(A51,0)))))-SUM($C$46:$C50),0)</f>
        <v>#REF!</v>
      </c>
      <c r="D51" s="90" t="e">
        <f t="shared" si="8"/>
        <v>#REF!</v>
      </c>
      <c r="E51" s="90" t="e">
        <f>IF(A51&lt;&gt;"",COUNTIF(トレード履歴!$J$2:$J$34,"&lt;"&amp;IF(A52&lt;&gt;"",A52,DATE(YEAR(A51),MONTH(A51),DAY(EOMONTH(A51,0)))))-SUM($E$46:$E50),0)</f>
        <v>#REF!</v>
      </c>
      <c r="F51" s="90" t="e">
        <f>IF(A52&lt;&gt;"",COUNTIFS(トレード履歴!$M$2:$M$34,"win",トレード履歴!$J$2:$J$34,"&lt;"&amp;IF(A52&lt;&gt;"",A52,DATE(YEAR(A51),MONTH(A51),DAY(EOMONTH(A51,0)))))-SUM($F$46:$F50),0)</f>
        <v>#REF!</v>
      </c>
      <c r="G51" s="90" t="e">
        <f>IF(A52&lt;&gt;"",COUNTIFS(トレード履歴!$M$2:$M$34,"loss",トレード履歴!$J$2:$J$34,"&lt;"&amp;IF(A52&lt;&gt;"",A52,DATE(YEAR(A51),MONTH(A51),DAY(EOMONTH(A51,0)))))-SUM($G$46:$G50),0)</f>
        <v>#REF!</v>
      </c>
      <c r="H51" s="90">
        <f>COUNTIFS(トレード履歴!$M$2:$M$34,"drw",トレード履歴!$J$2:$J$34,"&lt;"&amp;IF(A52&lt;&gt;"",A52,DATE(YEAR(A51),MONTH(A51),DAY(EOMONTH(A51,0)))))-SUM($H$46:$H50)</f>
        <v>0</v>
      </c>
      <c r="I51" s="126" t="e">
        <f t="shared" si="14"/>
        <v>#REF!</v>
      </c>
      <c r="J51" s="127" t="e">
        <f t="shared" si="9"/>
        <v>#REF!</v>
      </c>
      <c r="K51" s="127" t="e">
        <f t="shared" si="10"/>
        <v>#REF!</v>
      </c>
      <c r="L51" s="90" t="e">
        <f t="shared" si="15"/>
        <v>#REF!</v>
      </c>
      <c r="M51" s="90" t="e">
        <f t="shared" si="11"/>
        <v>#REF!</v>
      </c>
      <c r="N51" s="90" t="e">
        <f>IF(E51&gt;0,SUMIFS(トレード履歴!$P$2:$P$34,トレード履歴!$M$2:$M$34,"drw",トレード履歴!$R$2:$R$34,"&lt;"&amp;IF(A52&lt;&gt;"",A52,DATE(YEAR(A51),MONTH(A51),DAY(EOMONTH(A51,0)))))-SUM($C$46:$C50),0)</f>
        <v>#REF!</v>
      </c>
      <c r="O51" s="127" t="e">
        <f t="shared" si="12"/>
        <v>#REF!</v>
      </c>
    </row>
    <row r="52" spans="1:15">
      <c r="A52" s="125" t="e">
        <f t="shared" si="13"/>
        <v>#REF!</v>
      </c>
      <c r="B52" s="90" t="e">
        <f>IF(E52&gt;0,SUMIFS(トレード履歴!$P$2:$P$34,トレード履歴!$M$2:$M$34,"win",トレード履歴!$J$2:$J34,"&lt;"&amp;IF(A53&lt;&gt;"",A53,DATE(YEAR(A52),MONTH(A52),DAY(EOMONTH(A52,0)))))-SUM($B$44:$B51),0)</f>
        <v>#REF!</v>
      </c>
      <c r="C52" s="90" t="e">
        <f>IF(E52&gt;0,SUMIFS(トレード履歴!$P$2:$P$34,トレード履歴!$M$2:$M$34,"loss",トレード履歴!$J$2:$J$34,"&lt;"&amp;IF(A53&lt;&gt;"",A53,DATE(YEAR(A52),MONTH(A52),DAY(EOMONTH(A52,0)))))-SUM($C$46:$C51),0)</f>
        <v>#REF!</v>
      </c>
      <c r="D52" s="90" t="e">
        <f t="shared" si="8"/>
        <v>#REF!</v>
      </c>
      <c r="E52" s="90" t="e">
        <f>IF(A52&lt;&gt;"",COUNTIF(トレード履歴!$J$2:$J$34,"&lt;"&amp;IF(A53&lt;&gt;"",A53,DATE(YEAR(A52),MONTH(A52),DAY(EOMONTH(A52,0)))))-SUM($E$46:$E51),0)</f>
        <v>#REF!</v>
      </c>
      <c r="F52" s="90" t="e">
        <f>IF(A53&lt;&gt;"",COUNTIFS(トレード履歴!$M$2:$M$34,"win",トレード履歴!$J$2:$J$34,"&lt;"&amp;IF(A53&lt;&gt;"",A53,DATE(YEAR(A52),MONTH(A52),DAY(EOMONTH(A52,0)))))-SUM($F$46:$F51),0)</f>
        <v>#REF!</v>
      </c>
      <c r="G52" s="90" t="e">
        <f>IF(A53&lt;&gt;"",COUNTIFS(トレード履歴!$M$2:$M$34,"loss",トレード履歴!$J$2:$J$34,"&lt;"&amp;IF(A53&lt;&gt;"",A53,DATE(YEAR(A52),MONTH(A52),DAY(EOMONTH(A52,0)))))-SUM($G$46:$G51),0)</f>
        <v>#REF!</v>
      </c>
      <c r="H52" s="90">
        <f>COUNTIFS(トレード履歴!$M$2:$M$34,"drw",トレード履歴!$J$2:$J$34,"&lt;"&amp;IF(A53&lt;&gt;"",A53,DATE(YEAR(A52),MONTH(A52),DAY(EOMONTH(A52,0)))))-SUM($H$46:$H51)</f>
        <v>0</v>
      </c>
      <c r="I52" s="126" t="e">
        <f t="shared" si="14"/>
        <v>#REF!</v>
      </c>
      <c r="J52" s="127" t="e">
        <f t="shared" si="9"/>
        <v>#REF!</v>
      </c>
      <c r="K52" s="127" t="e">
        <f t="shared" si="10"/>
        <v>#REF!</v>
      </c>
      <c r="L52" s="90" t="e">
        <f t="shared" si="15"/>
        <v>#REF!</v>
      </c>
      <c r="M52" s="90" t="e">
        <f t="shared" si="11"/>
        <v>#REF!</v>
      </c>
      <c r="N52" s="90" t="e">
        <f>IF(E52&gt;0,SUMIFS(トレード履歴!$P$2:$P$34,トレード履歴!$M$2:$M$34,"drw",トレード履歴!$R$2:$R$34,"&lt;"&amp;IF(A53&lt;&gt;"",A53,DATE(YEAR(A52),MONTH(A52),DAY(EOMONTH(A52,0)))))-SUM($C$46:$C51),0)</f>
        <v>#REF!</v>
      </c>
      <c r="O52" s="127" t="e">
        <f t="shared" si="12"/>
        <v>#REF!</v>
      </c>
    </row>
    <row r="53" spans="1:15">
      <c r="A53" s="125" t="e">
        <f t="shared" si="13"/>
        <v>#REF!</v>
      </c>
      <c r="B53" s="90" t="e">
        <f>IF(E53&gt;0,SUMIFS(トレード履歴!$P$2:$P$34,トレード履歴!$M$2:$M$34,"win",トレード履歴!$J$2:$J34,"&lt;"&amp;IF(A54&lt;&gt;"",A54,DATE(YEAR(A53),MONTH(A53),DAY(EOMONTH(A53,0)))))-SUM($B$44:$B52),0)</f>
        <v>#REF!</v>
      </c>
      <c r="C53" s="90" t="e">
        <f>IF(E53&gt;0,SUMIFS(トレード履歴!$P$2:$P$34,トレード履歴!$M$2:$M$34,"loss",トレード履歴!$J$2:$J$34,"&lt;"&amp;IF(A54&lt;&gt;"",A54,DATE(YEAR(A53),MONTH(A53),DAY(EOMONTH(A53,0)))))-SUM($C$46:$C52),0)</f>
        <v>#REF!</v>
      </c>
      <c r="D53" s="90" t="e">
        <f t="shared" si="8"/>
        <v>#REF!</v>
      </c>
      <c r="E53" s="90" t="e">
        <f>IF(A53&lt;&gt;"",COUNTIF(トレード履歴!$J$2:$J$34,"&lt;"&amp;IF(A54&lt;&gt;"",A54,DATE(YEAR(A53),MONTH(A53),DAY(EOMONTH(A53,0)))))-SUM($E$46:$E52),0)</f>
        <v>#REF!</v>
      </c>
      <c r="F53" s="90" t="e">
        <f>IF(A54&lt;&gt;"",COUNTIFS(トレード履歴!$M$2:$M$34,"win",トレード履歴!$J$2:$J$34,"&lt;"&amp;IF(A54&lt;&gt;"",A54,DATE(YEAR(A53),MONTH(A53),DAY(EOMONTH(A53,0)))))-SUM($F$46:$F52),0)</f>
        <v>#REF!</v>
      </c>
      <c r="G53" s="90" t="e">
        <f>IF(A54&lt;&gt;"",COUNTIFS(トレード履歴!$M$2:$M$34,"loss",トレード履歴!$J$2:$J$34,"&lt;"&amp;IF(A54&lt;&gt;"",A54,DATE(YEAR(A53),MONTH(A53),DAY(EOMONTH(A53,0)))))-SUM($G$46:$G52),0)</f>
        <v>#REF!</v>
      </c>
      <c r="H53" s="90">
        <f>COUNTIFS(トレード履歴!$M$2:$M$34,"drw",トレード履歴!$J$2:$J$34,"&lt;"&amp;IF(A54&lt;&gt;"",A54,DATE(YEAR(A53),MONTH(A53),DAY(EOMONTH(A53,0)))))-SUM($H$46:$H52)</f>
        <v>0</v>
      </c>
      <c r="I53" s="126" t="e">
        <f t="shared" si="14"/>
        <v>#REF!</v>
      </c>
      <c r="J53" s="127" t="e">
        <f t="shared" si="9"/>
        <v>#REF!</v>
      </c>
      <c r="K53" s="127" t="e">
        <f t="shared" si="10"/>
        <v>#REF!</v>
      </c>
      <c r="L53" s="90" t="e">
        <f t="shared" si="15"/>
        <v>#REF!</v>
      </c>
      <c r="M53" s="90" t="e">
        <f t="shared" si="11"/>
        <v>#REF!</v>
      </c>
      <c r="N53" s="90" t="e">
        <f>IF(E53&gt;0,SUMIFS(トレード履歴!$P$2:$P$34,トレード履歴!$M$2:$M$34,"drw",トレード履歴!$R$2:$R$34,"&lt;"&amp;IF(A54&lt;&gt;"",A54,DATE(YEAR(A53),MONTH(A53),DAY(EOMONTH(A53,0)))))-SUM($C$46:$C52),0)</f>
        <v>#REF!</v>
      </c>
      <c r="O53" s="127" t="e">
        <f t="shared" si="12"/>
        <v>#REF!</v>
      </c>
    </row>
    <row r="54" spans="1:15">
      <c r="A54" s="125" t="e">
        <f t="shared" si="13"/>
        <v>#REF!</v>
      </c>
      <c r="B54" s="90" t="e">
        <f>IF(E54&gt;0,SUMIFS(トレード履歴!$P$2:$P$34,トレード履歴!$M$2:$M$34,"win",トレード履歴!$J$2:$J34,"&lt;"&amp;IF(A55&lt;&gt;"",A55,DATE(YEAR(A54),MONTH(A54),DAY(EOMONTH(A54,0)))))-SUM($B$44:$B53),0)</f>
        <v>#REF!</v>
      </c>
      <c r="C54" s="90" t="e">
        <f>IF(E54&gt;0,SUMIFS(トレード履歴!$P$2:$P$34,トレード履歴!$M$2:$M$34,"loss",トレード履歴!$J$2:$J$34,"&lt;"&amp;IF(A55&lt;&gt;"",A55,DATE(YEAR(A54),MONTH(A54),DAY(EOMONTH(A54,0)))))-SUM($C$46:$C53),0)</f>
        <v>#REF!</v>
      </c>
      <c r="D54" s="90" t="e">
        <f t="shared" si="8"/>
        <v>#REF!</v>
      </c>
      <c r="E54" s="90" t="e">
        <f>IF(A54&lt;&gt;"",COUNTIF(トレード履歴!$J$2:$J$34,"&lt;"&amp;IF(A55&lt;&gt;"",A55,DATE(YEAR(A54),MONTH(A54),DAY(EOMONTH(A54,0)))))-SUM($E$46:$E53),0)</f>
        <v>#REF!</v>
      </c>
      <c r="F54" s="90" t="e">
        <f>IF(A55&lt;&gt;"",COUNTIFS(トレード履歴!$M$2:$M$34,"win",トレード履歴!$J$2:$J$34,"&lt;"&amp;IF(A55&lt;&gt;"",A55,DATE(YEAR(A54),MONTH(A54),DAY(EOMONTH(A54,0)))))-SUM($F$46:$F53),0)</f>
        <v>#REF!</v>
      </c>
      <c r="G54" s="90" t="e">
        <f>IF(A55&lt;&gt;"",COUNTIFS(トレード履歴!$M$2:$M$34,"loss",トレード履歴!$J$2:$J$34,"&lt;"&amp;IF(A55&lt;&gt;"",A55,DATE(YEAR(A54),MONTH(A54),DAY(EOMONTH(A54,0)))))-SUM($G$46:$G53),0)</f>
        <v>#REF!</v>
      </c>
      <c r="H54" s="90">
        <f>COUNTIFS(トレード履歴!$M$2:$M$34,"drw",トレード履歴!$J$2:$J$34,"&lt;"&amp;IF(A55&lt;&gt;"",A55,DATE(YEAR(A54),MONTH(A54),DAY(EOMONTH(A54,0)))))-SUM($H$46:$H53)</f>
        <v>0</v>
      </c>
      <c r="I54" s="126" t="e">
        <f t="shared" si="14"/>
        <v>#REF!</v>
      </c>
      <c r="J54" s="127" t="e">
        <f t="shared" si="9"/>
        <v>#REF!</v>
      </c>
      <c r="K54" s="127" t="e">
        <f t="shared" si="10"/>
        <v>#REF!</v>
      </c>
      <c r="L54" s="90" t="e">
        <f t="shared" si="15"/>
        <v>#REF!</v>
      </c>
      <c r="M54" s="90" t="e">
        <f t="shared" si="11"/>
        <v>#REF!</v>
      </c>
      <c r="N54" s="90" t="e">
        <f>IF(E54&gt;0,SUMIFS(トレード履歴!$P$2:$P$34,トレード履歴!$M$2:$M$34,"drw",トレード履歴!$R$2:$R$34,"&lt;"&amp;IF(A55&lt;&gt;"",A55,DATE(YEAR(A54),MONTH(A54),DAY(EOMONTH(A54,0)))))-SUM($C$46:$C53),0)</f>
        <v>#REF!</v>
      </c>
      <c r="O54" s="127" t="e">
        <f t="shared" si="12"/>
        <v>#REF!</v>
      </c>
    </row>
    <row r="55" spans="1:15">
      <c r="A55" s="125" t="e">
        <f t="shared" si="13"/>
        <v>#REF!</v>
      </c>
      <c r="B55" s="90" t="e">
        <f>IF(E55&gt;0,SUMIFS(トレード履歴!$P$2:$P$34,トレード履歴!$M$2:$M$34,"win",トレード履歴!$J$2:$J34,"&lt;"&amp;IF(A56&lt;&gt;"",A56,DATE(YEAR(A55),MONTH(A55),DAY(EOMONTH(A55,0)))))-SUM($B$44:$B54),0)</f>
        <v>#REF!</v>
      </c>
      <c r="C55" s="90" t="e">
        <f>IF(E55&gt;0,SUMIFS(トレード履歴!$P$2:$P$34,トレード履歴!$M$2:$M$34,"loss",トレード履歴!$J$2:$J$34,"&lt;"&amp;IF(A56&lt;&gt;"",A56,DATE(YEAR(A55),MONTH(A55),DAY(EOMONTH(A55,0)))))-SUM($C$46:$C54),0)</f>
        <v>#REF!</v>
      </c>
      <c r="D55" s="90" t="e">
        <f t="shared" si="8"/>
        <v>#REF!</v>
      </c>
      <c r="E55" s="90" t="e">
        <f>IF(A55&lt;&gt;"",COUNTIF(トレード履歴!$J$2:$J$34,"&lt;"&amp;IF(A56&lt;&gt;"",A56,DATE(YEAR(A55),MONTH(A55),DAY(EOMONTH(A55,0)))))-SUM($E$46:$E54),0)</f>
        <v>#REF!</v>
      </c>
      <c r="F55" s="90" t="e">
        <f>IF(A56&lt;&gt;"",COUNTIFS(トレード履歴!$M$2:$M$34,"win",トレード履歴!$J$2:$J$34,"&lt;"&amp;IF(A56&lt;&gt;"",A56,DATE(YEAR(A55),MONTH(A55),DAY(EOMONTH(A55,0)))))-SUM($F$46:$F54),0)</f>
        <v>#REF!</v>
      </c>
      <c r="G55" s="90" t="e">
        <f>IF(A56&lt;&gt;"",COUNTIFS(トレード履歴!$M$2:$M$34,"loss",トレード履歴!$J$2:$J$34,"&lt;"&amp;IF(A56&lt;&gt;"",A56,DATE(YEAR(A55),MONTH(A55),DAY(EOMONTH(A55,0)))))-SUM($G$46:$G54),0)</f>
        <v>#REF!</v>
      </c>
      <c r="H55" s="90">
        <f>COUNTIFS(トレード履歴!$M$2:$M$34,"drw",トレード履歴!$J$2:$J$34,"&lt;"&amp;IF(A56&lt;&gt;"",A56,DATE(YEAR(A55),MONTH(A55),DAY(EOMONTH(A55,0)))))-SUM($H$46:$H54)</f>
        <v>0</v>
      </c>
      <c r="I55" s="126" t="e">
        <f t="shared" si="14"/>
        <v>#REF!</v>
      </c>
      <c r="J55" s="127" t="e">
        <f t="shared" si="9"/>
        <v>#REF!</v>
      </c>
      <c r="K55" s="127" t="e">
        <f t="shared" si="10"/>
        <v>#REF!</v>
      </c>
      <c r="L55" s="90" t="e">
        <f t="shared" si="15"/>
        <v>#REF!</v>
      </c>
      <c r="M55" s="90" t="e">
        <f t="shared" si="11"/>
        <v>#REF!</v>
      </c>
      <c r="N55" s="90" t="e">
        <f>IF(E55&gt;0,SUMIFS(トレード履歴!$P$2:$P$34,トレード履歴!$M$2:$M$34,"drw",トレード履歴!$R$2:$R$34,"&lt;"&amp;IF(A56&lt;&gt;"",A56,DATE(YEAR(A55),MONTH(A55),DAY(EOMONTH(A55,0)))))-SUM($C$46:$C54),0)</f>
        <v>#REF!</v>
      </c>
      <c r="O55" s="127" t="e">
        <f t="shared" si="12"/>
        <v>#REF!</v>
      </c>
    </row>
    <row r="56" spans="1:15">
      <c r="A56" s="125" t="e">
        <f t="shared" si="13"/>
        <v>#REF!</v>
      </c>
      <c r="B56" s="90" t="e">
        <f>IF(E56&gt;0,SUMIFS(トレード履歴!$P$2:$P$34,トレード履歴!$M$2:$M$34,"win",トレード履歴!$J$2:$J34,"&lt;"&amp;IF(A57&lt;&gt;"",A57,DATE(YEAR(A56),MONTH(A56),DAY(EOMONTH(A56,0)))))-SUM($B$44:$B55),0)</f>
        <v>#REF!</v>
      </c>
      <c r="C56" s="90" t="e">
        <f>IF(E56&gt;0,SUMIFS(トレード履歴!$P$2:$P$34,トレード履歴!$M$2:$M$34,"loss",トレード履歴!$J$2:$J$34,"&lt;"&amp;IF(A57&lt;&gt;"",A57,DATE(YEAR(A56),MONTH(A56),DAY(EOMONTH(A56,0)))))-SUM($C$46:$C55),0)</f>
        <v>#REF!</v>
      </c>
      <c r="D56" s="90" t="e">
        <f t="shared" si="8"/>
        <v>#REF!</v>
      </c>
      <c r="E56" s="90" t="e">
        <f>IF(A56&lt;&gt;"",COUNTIF(トレード履歴!$J$2:$J$34,"&lt;"&amp;IF(A57&lt;&gt;"",A57,DATE(YEAR(A56),MONTH(A56),DAY(EOMONTH(A56,0)))))-SUM($E$46:$E55),0)</f>
        <v>#REF!</v>
      </c>
      <c r="F56" s="90" t="e">
        <f>IF(A57&lt;&gt;"",COUNTIFS(トレード履歴!$M$2:$M$34,"win",トレード履歴!$J$2:$J$34,"&lt;"&amp;IF(A57&lt;&gt;"",A57,DATE(YEAR(A56),MONTH(A56),DAY(EOMONTH(A56,0)))))-SUM($F$46:$F55),0)</f>
        <v>#REF!</v>
      </c>
      <c r="G56" s="90" t="e">
        <f>IF(A57&lt;&gt;"",COUNTIFS(トレード履歴!$M$2:$M$34,"loss",トレード履歴!$J$2:$J$34,"&lt;"&amp;IF(A57&lt;&gt;"",A57,DATE(YEAR(A56),MONTH(A56),DAY(EOMONTH(A56,0)))))-SUM($G$46:$G55),0)</f>
        <v>#REF!</v>
      </c>
      <c r="H56" s="90">
        <f>COUNTIFS(トレード履歴!$M$2:$M$34,"drw",トレード履歴!$J$2:$J$34,"&lt;"&amp;IF(A57&lt;&gt;"",A57,DATE(YEAR(A56),MONTH(A56),DAY(EOMONTH(A56,0)))))-SUM($H$46:$H55)</f>
        <v>0</v>
      </c>
      <c r="I56" s="126" t="e">
        <f t="shared" si="14"/>
        <v>#REF!</v>
      </c>
      <c r="J56" s="127" t="e">
        <f t="shared" si="9"/>
        <v>#REF!</v>
      </c>
      <c r="K56" s="127" t="e">
        <f t="shared" si="10"/>
        <v>#REF!</v>
      </c>
      <c r="L56" s="90" t="e">
        <f t="shared" si="15"/>
        <v>#REF!</v>
      </c>
      <c r="M56" s="90" t="e">
        <f t="shared" si="11"/>
        <v>#REF!</v>
      </c>
      <c r="N56" s="90" t="e">
        <f>IF(E56&gt;0,SUMIFS(トレード履歴!$P$2:$P$34,トレード履歴!$M$2:$M$34,"drw",トレード履歴!$R$2:$R$34,"&lt;"&amp;IF(A57&lt;&gt;"",A57,DATE(YEAR(A56),MONTH(A56),DAY(EOMONTH(A56,0)))))-SUM($C$46:$C55),0)</f>
        <v>#REF!</v>
      </c>
      <c r="O56" s="127" t="e">
        <f t="shared" si="12"/>
        <v>#REF!</v>
      </c>
    </row>
    <row r="57" spans="1:15">
      <c r="A57" s="125" t="e">
        <f t="shared" si="13"/>
        <v>#REF!</v>
      </c>
      <c r="B57" s="90" t="e">
        <f>IF(E57&gt;0,SUMIFS(トレード履歴!$P$2:$P$34,トレード履歴!$M$2:$M$34,"win",トレード履歴!$J$2:$J$34,"&lt;"&amp;IF(A58&lt;&gt;"",A58,DATE(YEAR(A57),MONTH(A57),DAY(EOMONTH(A57,0)))))-SUM($B$44:$B56),0)</f>
        <v>#REF!</v>
      </c>
      <c r="C57" s="90" t="e">
        <f>IF(E57&gt;0,SUMIFS(トレード履歴!$P$2:$P$34,トレード履歴!$M$2:$M$34,"loss",トレード履歴!$J$2:$J$34,"&lt;"&amp;IF(A58&lt;&gt;"",A58,DATE(YEAR(A57),MONTH(A57),DAY(EOMONTH(A57,0)))))-SUM($C$46:$C56),0)</f>
        <v>#REF!</v>
      </c>
      <c r="D57" s="90" t="e">
        <f t="shared" si="8"/>
        <v>#REF!</v>
      </c>
      <c r="E57" s="90" t="e">
        <f>IF(A57&lt;&gt;"",COUNTIF(トレード履歴!$J$2:$J$34,"&lt;"&amp;IF(A58&lt;&gt;"",A58,DATE(YEAR(A57),MONTH(A57),DAY(EOMONTH(A57,0)))))-SUM($E$46:$E56),0)</f>
        <v>#REF!</v>
      </c>
      <c r="F57" s="90" t="e">
        <f>IF(A58&lt;&gt;"",COUNTIFS(トレード履歴!$M$2:$M$34,"win",トレード履歴!$J$2:$J$34,"&lt;"&amp;IF(A58&lt;&gt;"",A58,DATE(YEAR(A57),MONTH(A57),DAY(EOMONTH(A57,0)))))-SUM($F$46:$F56),0)</f>
        <v>#REF!</v>
      </c>
      <c r="G57" s="90" t="e">
        <f>IF(A58&lt;&gt;"",COUNTIFS(トレード履歴!$M$2:$M$34,"loss",トレード履歴!$J$2:$J$34,"&lt;"&amp;IF(A58&lt;&gt;"",A58,DATE(YEAR(A57),MONTH(A57),DAY(EOMONTH(A57,0)))))-SUM($G$46:$G56),0)</f>
        <v>#REF!</v>
      </c>
      <c r="H57" s="90">
        <f>COUNTIFS(トレード履歴!$M$2:$M$34,"drw",トレード履歴!$J$2:$J$34,"&lt;"&amp;IF(A58&lt;&gt;"",A58,DATE(YEAR(A57),MONTH(A57),DAY(EOMONTH(A57,0)))))-SUM($H$46:$H56)</f>
        <v>0</v>
      </c>
      <c r="I57" s="126" t="e">
        <f t="shared" si="14"/>
        <v>#REF!</v>
      </c>
      <c r="J57" s="127" t="e">
        <f t="shared" si="9"/>
        <v>#REF!</v>
      </c>
      <c r="K57" s="127" t="e">
        <f t="shared" si="10"/>
        <v>#REF!</v>
      </c>
      <c r="L57" s="90" t="e">
        <f t="shared" si="15"/>
        <v>#REF!</v>
      </c>
      <c r="M57" s="90" t="e">
        <f t="shared" si="11"/>
        <v>#REF!</v>
      </c>
      <c r="N57" s="90" t="e">
        <f>IF(E57&gt;0,SUMIFS(トレード履歴!$P$2:$P$34,トレード履歴!$M$2:$M$34,"drw",トレード履歴!$R$2:$R$34,"&lt;"&amp;IF(A58&lt;&gt;"",A58,DATE(YEAR(A57),MONTH(A57),DAY(EOMONTH(A57,0)))))-SUM($C$46:$C56),0)</f>
        <v>#REF!</v>
      </c>
      <c r="O57" s="127" t="e">
        <f t="shared" si="12"/>
        <v>#REF!</v>
      </c>
    </row>
    <row r="58" spans="1:15">
      <c r="A58" s="125" t="e">
        <f t="shared" si="13"/>
        <v>#REF!</v>
      </c>
      <c r="B58" s="90" t="e">
        <f>IF(E58&gt;0,SUMIFS(トレード履歴!$P$2:$P$34,トレード履歴!$M$2:$M$34,"win",トレード履歴!$J$2:$J34,"&lt;"&amp;IF(A59&lt;&gt;"",A59,DATE(YEAR(A58),MONTH(A58),DAY(EOMONTH(A58,0)))))-SUM($B$44:$B57),0)</f>
        <v>#REF!</v>
      </c>
      <c r="C58" s="90" t="e">
        <f>IF(E58&gt;0,SUMIFS(トレード履歴!$P$2:$P$34,トレード履歴!$M$2:$M$34,"loss",トレード履歴!$J$2:$J$34,"&lt;"&amp;IF(A59&lt;&gt;"",A59,DATE(YEAR(A58),MONTH(A58),DAY(EOMONTH(A58,0)))))-SUM($C$46:$C57),0)</f>
        <v>#REF!</v>
      </c>
      <c r="D58" s="90" t="e">
        <f t="shared" si="8"/>
        <v>#REF!</v>
      </c>
      <c r="E58" s="90" t="e">
        <f>IF(A58&lt;&gt;"",COUNTIF(トレード履歴!$J$2:$J$34,"&lt;"&amp;IF(A59&lt;&gt;"",A59,DATE(YEAR(A58),MONTH(A58),DAY(EOMONTH(A58,0)))))-SUM($E$46:$E57),0)</f>
        <v>#REF!</v>
      </c>
      <c r="F58" s="90" t="e">
        <f>IF(A59&lt;&gt;"",COUNTIFS(トレード履歴!$M$2:$M$34,"win",トレード履歴!$J$2:$J$34,"&lt;"&amp;IF(A59&lt;&gt;"",A59,DATE(YEAR(A58),MONTH(A58),DAY(EOMONTH(A58,0)))))-SUM($F$46:$F57),0)</f>
        <v>#REF!</v>
      </c>
      <c r="G58" s="90" t="e">
        <f>IF(A59&lt;&gt;"",COUNTIFS(トレード履歴!$M$2:$M$34,"loss",トレード履歴!$J$2:$J$34,"&lt;"&amp;IF(A59&lt;&gt;"",A59,DATE(YEAR(A58),MONTH(A58),DAY(EOMONTH(A58,0)))))-SUM($G$46:$G57),0)</f>
        <v>#REF!</v>
      </c>
      <c r="H58" s="90">
        <f>COUNTIFS(トレード履歴!$M$2:$M$34,"drw",トレード履歴!$J$2:$J$34,"&lt;"&amp;IF(A59&lt;&gt;"",A59,DATE(YEAR(A58),MONTH(A58),DAY(EOMONTH(A58,0)))))-SUM($H$46:$H57)</f>
        <v>0</v>
      </c>
      <c r="I58" s="126" t="e">
        <f t="shared" si="14"/>
        <v>#REF!</v>
      </c>
      <c r="J58" s="127" t="e">
        <f t="shared" si="9"/>
        <v>#REF!</v>
      </c>
      <c r="K58" s="127" t="e">
        <f t="shared" si="10"/>
        <v>#REF!</v>
      </c>
      <c r="L58" s="90" t="e">
        <f t="shared" si="15"/>
        <v>#REF!</v>
      </c>
      <c r="M58" s="90" t="e">
        <f t="shared" si="11"/>
        <v>#REF!</v>
      </c>
      <c r="N58" s="90" t="e">
        <f>IF(E58&gt;0,SUMIFS(トレード履歴!$P$2:$P$34,トレード履歴!$M$2:$M$34,"drw",トレード履歴!$R$2:$R$34,"&lt;"&amp;IF(A59&lt;&gt;"",A59,DATE(YEAR(A58),MONTH(A58),DAY(EOMONTH(A58,0)))))-SUM($C$46:$C57),0)</f>
        <v>#REF!</v>
      </c>
      <c r="O58" s="127" t="e">
        <f t="shared" si="12"/>
        <v>#REF!</v>
      </c>
    </row>
    <row r="59" spans="1:15">
      <c r="A59" s="125" t="e">
        <f t="shared" si="13"/>
        <v>#REF!</v>
      </c>
      <c r="B59" s="90" t="e">
        <f>IF(E59&gt;0,SUMIFS(トレード履歴!$P$2:$P$34,トレード履歴!$M$2:$M$34,"win",トレード履歴!$J$2:$J34,"&lt;"&amp;IF(A60&lt;&gt;"",A60,DATE(YEAR(A59),MONTH(A59),DAY(EOMONTH(A59,0)))))-SUM($B$44:$B58),0)</f>
        <v>#REF!</v>
      </c>
      <c r="C59" s="90" t="e">
        <f>IF(E59&gt;0,SUMIFS(トレード履歴!$P$2:$P$34,トレード履歴!$M$2:$M$34,"loss",トレード履歴!$J$2:$J$34,"&lt;"&amp;IF(A60&lt;&gt;"",A60,DATE(YEAR(A59),MONTH(A59),DAY(EOMONTH(A59,0)))))-SUM($C$46:$C58),0)</f>
        <v>#REF!</v>
      </c>
      <c r="D59" s="90" t="e">
        <f t="shared" si="8"/>
        <v>#REF!</v>
      </c>
      <c r="E59" s="90" t="e">
        <f>IF(A59&lt;&gt;"",COUNTIF(トレード履歴!$J$2:$J$34,"&lt;"&amp;IF(A60&lt;&gt;"",A60,DATE(YEAR(A59),MONTH(A59),DAY(EOMONTH(A59,0)))))-SUM($E$46:$E58),0)</f>
        <v>#REF!</v>
      </c>
      <c r="F59" s="90" t="e">
        <f>IF(A60&lt;&gt;"",COUNTIFS(トレード履歴!$M$2:$M$34,"win",トレード履歴!$J$2:$J$34,"&lt;"&amp;IF(A60&lt;&gt;"",A60,DATE(YEAR(A59),MONTH(A59),DAY(EOMONTH(A59,0)))))-SUM($F$46:$F58),0)</f>
        <v>#REF!</v>
      </c>
      <c r="G59" s="90" t="e">
        <f>IF(A60&lt;&gt;"",COUNTIFS(トレード履歴!$M$2:$M$34,"loss",トレード履歴!$J$2:$J$34,"&lt;"&amp;IF(A60&lt;&gt;"",A60,DATE(YEAR(A59),MONTH(A59),DAY(EOMONTH(A59,0)))))-SUM($G$46:$G58),0)</f>
        <v>#REF!</v>
      </c>
      <c r="H59" s="90">
        <f>COUNTIFS(トレード履歴!$M$2:$M$34,"drw",トレード履歴!$J$2:$J$34,"&lt;"&amp;IF(A60&lt;&gt;"",A60,DATE(YEAR(A59),MONTH(A59),DAY(EOMONTH(A59,0)))))-SUM($H$46:$H58)</f>
        <v>0</v>
      </c>
      <c r="I59" s="126" t="e">
        <f t="shared" si="14"/>
        <v>#REF!</v>
      </c>
      <c r="J59" s="127" t="e">
        <f t="shared" si="9"/>
        <v>#REF!</v>
      </c>
      <c r="K59" s="127" t="e">
        <f t="shared" si="10"/>
        <v>#REF!</v>
      </c>
      <c r="L59" s="90" t="e">
        <f t="shared" si="15"/>
        <v>#REF!</v>
      </c>
      <c r="M59" s="90" t="e">
        <f t="shared" si="11"/>
        <v>#REF!</v>
      </c>
      <c r="N59" s="90" t="e">
        <f>IF(E59&gt;0,SUMIFS(トレード履歴!$P$2:$P$34,トレード履歴!$M$2:$M$34,"drw",トレード履歴!$R$2:$R$34,"&lt;"&amp;IF(A60&lt;&gt;"",A60,DATE(YEAR(A59),MONTH(A59),DAY(EOMONTH(A59,0)))))-SUM($C$46:$C58),0)</f>
        <v>#REF!</v>
      </c>
      <c r="O59" s="127" t="e">
        <f t="shared" si="12"/>
        <v>#REF!</v>
      </c>
    </row>
    <row r="60" spans="1:15">
      <c r="A60" s="125" t="e">
        <f t="shared" si="13"/>
        <v>#REF!</v>
      </c>
      <c r="B60" s="90" t="e">
        <f>IF(E60&gt;0,SUMIFS(トレード履歴!$P$2:$P$34,トレード履歴!$M$2:$M$34,"win",トレード履歴!$J$2:$J34,"&lt;"&amp;IF(A61&lt;&gt;"",A61,DATE(YEAR(A60),MONTH(A60),DAY(EOMONTH(A60,0)))))-SUM($B$44:$B59),0)</f>
        <v>#REF!</v>
      </c>
      <c r="C60" s="90" t="e">
        <f>IF(E60&gt;0,SUMIFS(トレード履歴!$P$2:$P$34,トレード履歴!$M$2:$M$34,"loss",トレード履歴!$J$2:$J$34,"&lt;"&amp;IF(A61&lt;&gt;"",A61,DATE(YEAR(A60),MONTH(A60),DAY(EOMONTH(A60,0)))))-SUM($C$46:$C59),0)</f>
        <v>#REF!</v>
      </c>
      <c r="D60" s="90" t="e">
        <f t="shared" si="8"/>
        <v>#REF!</v>
      </c>
      <c r="E60" s="90" t="e">
        <f>IF(A60&lt;&gt;"",COUNTIF(トレード履歴!$J$2:$J$34,"&lt;"&amp;IF(A61&lt;&gt;"",A61,DATE(YEAR(A60),MONTH(A60),DAY(EOMONTH(A60,0)))))-SUM($E$46:$E59),0)</f>
        <v>#REF!</v>
      </c>
      <c r="F60" s="90" t="e">
        <f>IF(A61&lt;&gt;"",COUNTIFS(トレード履歴!$M$2:$M$34,"win",トレード履歴!$J$2:$J$34,"&lt;"&amp;IF(A61&lt;&gt;"",A61,DATE(YEAR(A60),MONTH(A60),DAY(EOMONTH(A60,0)))))-SUM($F$46:$F59),0)</f>
        <v>#REF!</v>
      </c>
      <c r="G60" s="90" t="e">
        <f>IF(A61&lt;&gt;"",COUNTIFS(トレード履歴!$M$2:$M$34,"loss",トレード履歴!$J$2:$J$34,"&lt;"&amp;IF(A61&lt;&gt;"",A61,DATE(YEAR(A60),MONTH(A60),DAY(EOMONTH(A60,0)))))-SUM($G$46:$G59),0)</f>
        <v>#REF!</v>
      </c>
      <c r="H60" s="90">
        <f>COUNTIFS(トレード履歴!$M$2:$M$34,"drw",トレード履歴!$J$2:$J$34,"&lt;"&amp;IF(A61&lt;&gt;"",A61,DATE(YEAR(A60),MONTH(A60),DAY(EOMONTH(A60,0)))))-SUM($H$46:$H59)</f>
        <v>0</v>
      </c>
      <c r="I60" s="126" t="e">
        <f t="shared" si="14"/>
        <v>#REF!</v>
      </c>
      <c r="J60" s="127" t="e">
        <f t="shared" si="9"/>
        <v>#REF!</v>
      </c>
      <c r="K60" s="127" t="e">
        <f t="shared" si="10"/>
        <v>#REF!</v>
      </c>
      <c r="L60" s="90" t="e">
        <f t="shared" si="15"/>
        <v>#REF!</v>
      </c>
      <c r="M60" s="90" t="e">
        <f t="shared" si="11"/>
        <v>#REF!</v>
      </c>
      <c r="N60" s="90" t="e">
        <f>IF(E60&gt;0,SUMIFS(トレード履歴!$P$2:$P$34,トレード履歴!$M$2:$M$34,"drw",トレード履歴!$R$2:$R$34,"&lt;"&amp;IF(A61&lt;&gt;"",A61,DATE(YEAR(A60),MONTH(A60),DAY(EOMONTH(A60,0)))))-SUM($C$46:$C59),0)</f>
        <v>#REF!</v>
      </c>
      <c r="O60" s="127" t="e">
        <f t="shared" si="12"/>
        <v>#REF!</v>
      </c>
    </row>
    <row r="61" spans="1:15">
      <c r="A61" s="125" t="e">
        <f t="shared" si="13"/>
        <v>#REF!</v>
      </c>
      <c r="B61" s="90" t="e">
        <f>IF(E61&gt;0,SUMIFS(トレード履歴!$P$2:$P$34,トレード履歴!$M$2:$M$34,"win",トレード履歴!$J$2:$J34,"&lt;"&amp;IF(A62&lt;&gt;"",A62,DATE(YEAR(A61),MONTH(A61),DAY(EOMONTH(A61,0)))))-SUM($B$44:$B60),0)</f>
        <v>#REF!</v>
      </c>
      <c r="C61" s="90" t="e">
        <f>IF(E61&gt;0,SUMIFS(トレード履歴!$P$2:$P$34,トレード履歴!$M$2:$M$34,"loss",トレード履歴!$J$2:$J$34,"&lt;"&amp;IF(A62&lt;&gt;"",A62,DATE(YEAR(A61),MONTH(A61),DAY(EOMONTH(A61,0)))))-SUM($C$46:$C60),0)</f>
        <v>#REF!</v>
      </c>
      <c r="D61" s="90" t="e">
        <f t="shared" si="8"/>
        <v>#REF!</v>
      </c>
      <c r="E61" s="90" t="e">
        <f>IF(A61&lt;&gt;"",COUNTIF(トレード履歴!$J$2:$J$34,"&lt;"&amp;IF(A62&lt;&gt;"",A62,DATE(YEAR(A61),MONTH(A61),DAY(EOMONTH(A61,0)))))-SUM($E$46:$E60),0)</f>
        <v>#REF!</v>
      </c>
      <c r="F61" s="90" t="e">
        <f>IF(A62&lt;&gt;"",COUNTIFS(トレード履歴!$M$2:$M$34,"win",トレード履歴!$J$2:$J$34,"&lt;"&amp;IF(A62&lt;&gt;"",A62,DATE(YEAR(A61),MONTH(A61),DAY(EOMONTH(A61,0)))))-SUM($F$46:$F60),0)</f>
        <v>#REF!</v>
      </c>
      <c r="G61" s="90" t="e">
        <f>IF(A62&lt;&gt;"",COUNTIFS(トレード履歴!$M$2:$M$34,"loss",トレード履歴!$J$2:$J$34,"&lt;"&amp;IF(A62&lt;&gt;"",A62,DATE(YEAR(A61),MONTH(A61),DAY(EOMONTH(A61,0)))))-SUM($G$46:$G60),0)</f>
        <v>#REF!</v>
      </c>
      <c r="H61" s="90">
        <f>COUNTIFS(トレード履歴!$M$2:$M$34,"drw",トレード履歴!$J$2:$J$34,"&lt;"&amp;IF(A62&lt;&gt;"",A62,DATE(YEAR(A61),MONTH(A61),DAY(EOMONTH(A61,0)))))-SUM($H$46:$H60)</f>
        <v>0</v>
      </c>
      <c r="I61" s="126" t="e">
        <f t="shared" si="14"/>
        <v>#REF!</v>
      </c>
      <c r="J61" s="127" t="e">
        <f t="shared" si="9"/>
        <v>#REF!</v>
      </c>
      <c r="K61" s="127" t="e">
        <f t="shared" si="10"/>
        <v>#REF!</v>
      </c>
      <c r="L61" s="90" t="e">
        <f t="shared" si="15"/>
        <v>#REF!</v>
      </c>
      <c r="M61" s="90" t="e">
        <f t="shared" si="11"/>
        <v>#REF!</v>
      </c>
      <c r="N61" s="90" t="e">
        <f>IF(E61&gt;0,SUMIFS(トレード履歴!$P$2:$P$34,トレード履歴!$M$2:$M$34,"drw",トレード履歴!$R$2:$R$34,"&lt;"&amp;IF(A62&lt;&gt;"",A62,DATE(YEAR(A61),MONTH(A61),DAY(EOMONTH(A61,0)))))-SUM($C$46:$C60),0)</f>
        <v>#REF!</v>
      </c>
      <c r="O61" s="127" t="e">
        <f t="shared" si="12"/>
        <v>#REF!</v>
      </c>
    </row>
    <row r="62" spans="1:15">
      <c r="A62" s="125" t="e">
        <f t="shared" si="13"/>
        <v>#REF!</v>
      </c>
      <c r="B62" s="90" t="e">
        <f>IF(E62&gt;0,SUMIFS(トレード履歴!$P$2:$P$34,トレード履歴!$M$2:$M$34,"win",トレード履歴!$J$2:$J34,"&lt;"&amp;IF(A63&lt;&gt;"",A63,DATE(YEAR(A62),MONTH(A62),DAY(EOMONTH(A62,0)))))-SUM($B$44:$B61),0)</f>
        <v>#REF!</v>
      </c>
      <c r="C62" s="90" t="e">
        <f>IF(E62&gt;0,SUMIFS(トレード履歴!$P$2:$P$34,トレード履歴!$M$2:$M$34,"loss",トレード履歴!$J$2:$J$34,"&lt;"&amp;IF(A63&lt;&gt;"",A63,DATE(YEAR(A62),MONTH(A62),DAY(EOMONTH(A62,0)))))-SUM($C$46:$C61),0)</f>
        <v>#REF!</v>
      </c>
      <c r="D62" s="90" t="e">
        <f t="shared" si="8"/>
        <v>#REF!</v>
      </c>
      <c r="E62" s="90" t="e">
        <f>IF(A62&lt;&gt;"",COUNTIF(トレード履歴!$J$2:$J$34,"&lt;"&amp;IF(A63&lt;&gt;"",A63,DATE(YEAR(A62),MONTH(A62),DAY(EOMONTH(A62,0)))))-SUM($E$46:$E61),0)</f>
        <v>#REF!</v>
      </c>
      <c r="F62" s="90" t="e">
        <f>IF(A63&lt;&gt;"",COUNTIFS(トレード履歴!$M$2:$M$34,"win",トレード履歴!$J$2:$J$34,"&lt;"&amp;IF(A63&lt;&gt;"",A63,DATE(YEAR(A62),MONTH(A62),DAY(EOMONTH(A62,0)))))-SUM($F$46:$F61),0)</f>
        <v>#REF!</v>
      </c>
      <c r="G62" s="90" t="e">
        <f>IF(A63&lt;&gt;"",COUNTIFS(トレード履歴!$M$2:$M$34,"loss",トレード履歴!$J$2:$J$34,"&lt;"&amp;IF(A63&lt;&gt;"",A63,DATE(YEAR(A62),MONTH(A62),DAY(EOMONTH(A62,0)))))-SUM($G$46:$G61),0)</f>
        <v>#REF!</v>
      </c>
      <c r="H62" s="90">
        <f>COUNTIFS(トレード履歴!$M$2:$M$34,"drw",トレード履歴!$J$2:$J$34,"&lt;"&amp;IF(A63&lt;&gt;"",A63,DATE(YEAR(A62),MONTH(A62),DAY(EOMONTH(A62,0)))))-SUM($H$46:$H61)</f>
        <v>0</v>
      </c>
      <c r="I62" s="126" t="e">
        <f t="shared" si="14"/>
        <v>#REF!</v>
      </c>
      <c r="J62" s="127" t="e">
        <f t="shared" si="9"/>
        <v>#REF!</v>
      </c>
      <c r="K62" s="127" t="e">
        <f t="shared" si="10"/>
        <v>#REF!</v>
      </c>
      <c r="L62" s="90" t="e">
        <f t="shared" si="15"/>
        <v>#REF!</v>
      </c>
      <c r="M62" s="90" t="e">
        <f t="shared" si="11"/>
        <v>#REF!</v>
      </c>
      <c r="N62" s="90" t="e">
        <f>IF(E62&gt;0,SUMIFS(トレード履歴!$P$2:$P$34,トレード履歴!$M$2:$M$34,"drw",トレード履歴!$R$2:$R$34,"&lt;"&amp;IF(A63&lt;&gt;"",A63,DATE(YEAR(A62),MONTH(A62),DAY(EOMONTH(A62,0)))))-SUM($C$46:$C61),0)</f>
        <v>#REF!</v>
      </c>
      <c r="O62" s="127" t="e">
        <f t="shared" si="12"/>
        <v>#REF!</v>
      </c>
    </row>
    <row r="63" spans="1:15">
      <c r="A63" s="125" t="e">
        <f t="shared" si="13"/>
        <v>#REF!</v>
      </c>
      <c r="B63" s="90" t="e">
        <f>IF(E63&gt;0,SUMIFS(トレード履歴!$P$2:$P$34,トレード履歴!$M$2:$M$34,"win",トレード履歴!$J$2:$J34,"&lt;"&amp;IF(A64&lt;&gt;"",A64,DATE(YEAR(A63),MONTH(A63),DAY(EOMONTH(A63,0)))))-SUM($B$44:$B62),0)</f>
        <v>#REF!</v>
      </c>
      <c r="C63" s="90" t="e">
        <f>IF(E63&gt;0,SUMIFS(トレード履歴!$P$2:$P$34,トレード履歴!$M$2:$M$34,"loss",トレード履歴!$J$2:$J$34,"&lt;"&amp;IF(A64&lt;&gt;"",A64,DATE(YEAR(A63),MONTH(A63),DAY(EOMONTH(A63,0)))))-SUM($C$46:$C62),0)</f>
        <v>#REF!</v>
      </c>
      <c r="D63" s="90" t="e">
        <f t="shared" si="8"/>
        <v>#REF!</v>
      </c>
      <c r="E63" s="90" t="e">
        <f>IF(A63&lt;&gt;"",COUNTIF(トレード履歴!$J$2:$J$34,"&lt;"&amp;IF(A64&lt;&gt;"",A64,DATE(YEAR(A63),MONTH(A63),DAY(EOMONTH(A63,0)))))-SUM($E$46:$E62),0)</f>
        <v>#REF!</v>
      </c>
      <c r="F63" s="90">
        <f>IF(A64&lt;&gt;"",COUNTIFS(トレード履歴!$M$2:$M$34,"win",トレード履歴!$J$2:$J$34,"&lt;"&amp;IF(A64&lt;&gt;"",A64,DATE(YEAR(A63),MONTH(A63),DAY(EOMONTH(A63,0)))))-SUM($F$46:$F62),0)</f>
        <v>0</v>
      </c>
      <c r="G63" s="90">
        <f>IF(A64&lt;&gt;"",COUNTIFS(トレード履歴!$M$2:$M$34,"loss",トレード履歴!$J$2:$J$34,"&lt;"&amp;IF(A64&lt;&gt;"",A64,DATE(YEAR(A63),MONTH(A63),DAY(EOMONTH(A63,0)))))-SUM($G$46:$G62),0)</f>
        <v>0</v>
      </c>
      <c r="H63" s="90">
        <f>COUNTIFS(トレード履歴!$M$2:$M$34,"drw",トレード履歴!$J$2:$J$34,"&lt;"&amp;IF(A64&lt;&gt;"",A64,DATE(YEAR(A63),MONTH(A63),DAY(EOMONTH(A63,0)))))-SUM($H$46:$H62)</f>
        <v>0</v>
      </c>
      <c r="I63" s="126" t="e">
        <f t="shared" si="14"/>
        <v>#REF!</v>
      </c>
      <c r="J63" s="127" t="e">
        <f t="shared" si="9"/>
        <v>#REF!</v>
      </c>
      <c r="K63" s="127" t="e">
        <f t="shared" si="10"/>
        <v>#REF!</v>
      </c>
      <c r="L63" s="90" t="e">
        <f t="shared" si="15"/>
        <v>#REF!</v>
      </c>
      <c r="M63" s="90" t="e">
        <f t="shared" si="11"/>
        <v>#REF!</v>
      </c>
      <c r="N63" s="90" t="e">
        <f>IF(E63&gt;0,SUMIFS(トレード履歴!$P$2:$P$34,トレード履歴!$M$2:$M$34,"drw",トレード履歴!$R$2:$R$34,"&lt;"&amp;IF(A64&lt;&gt;"",A64,DATE(YEAR(A63),MONTH(A63),DAY(EOMONTH(A63,0)))))-SUM($C$46:$C62),0)</f>
        <v>#REF!</v>
      </c>
      <c r="O63" s="127" t="e">
        <f t="shared" si="12"/>
        <v>#REF!</v>
      </c>
    </row>
    <row r="64" spans="1:15">
      <c r="A64" s="125"/>
      <c r="B64" s="90"/>
      <c r="C64" s="90"/>
      <c r="D64" s="90"/>
      <c r="E64" s="90"/>
      <c r="F64" s="90"/>
      <c r="G64" s="90"/>
      <c r="H64" s="90"/>
      <c r="I64" s="126"/>
      <c r="J64" s="90"/>
      <c r="K64" s="90"/>
      <c r="L64" s="90"/>
      <c r="M64" s="90"/>
      <c r="N64" s="127"/>
    </row>
    <row r="65" spans="1:14">
      <c r="A65" s="125"/>
      <c r="B65" s="90"/>
      <c r="C65" s="90"/>
      <c r="D65" s="90"/>
      <c r="E65" s="90"/>
      <c r="F65" s="90"/>
      <c r="G65" s="90"/>
      <c r="H65" s="90"/>
      <c r="I65" s="126"/>
      <c r="J65" s="90"/>
      <c r="K65" s="90"/>
      <c r="L65" s="90"/>
      <c r="M65" s="90"/>
      <c r="N65" s="127"/>
    </row>
    <row r="66" spans="1:14">
      <c r="A66" s="125"/>
      <c r="B66" s="90"/>
      <c r="C66" s="90"/>
      <c r="D66" s="90"/>
      <c r="E66" s="90"/>
      <c r="F66" s="90"/>
      <c r="G66" s="90"/>
      <c r="H66" s="90"/>
      <c r="I66" s="126"/>
      <c r="J66" s="90"/>
      <c r="K66" s="90"/>
      <c r="L66" s="90"/>
      <c r="M66" s="90"/>
      <c r="N66" s="127"/>
    </row>
    <row r="67" spans="1:14">
      <c r="A67" s="125"/>
      <c r="B67" s="90"/>
      <c r="C67" s="90"/>
      <c r="D67" s="90"/>
      <c r="E67" s="90"/>
      <c r="F67" s="90"/>
      <c r="G67" s="90"/>
      <c r="H67" s="90"/>
      <c r="I67" s="126"/>
      <c r="J67" s="90"/>
      <c r="K67" s="90"/>
      <c r="L67" s="90"/>
      <c r="M67" s="90"/>
      <c r="N67" s="12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85" t="s">
        <v>131</v>
      </c>
      <c r="B1" s="186"/>
      <c r="C1" s="186"/>
      <c r="D1" s="186"/>
    </row>
    <row r="2" spans="1:4" s="78" customFormat="1" ht="21.75" customHeight="1" thickBot="1">
      <c r="A2" s="82" t="s">
        <v>124</v>
      </c>
      <c r="B2" s="82" t="s">
        <v>125</v>
      </c>
      <c r="C2" s="82" t="s">
        <v>126</v>
      </c>
      <c r="D2" s="82" t="s">
        <v>127</v>
      </c>
    </row>
    <row r="3" spans="1:4" s="78" customFormat="1" ht="27.75" thickTop="1">
      <c r="A3" s="136" t="s">
        <v>278</v>
      </c>
      <c r="B3" s="81" t="s">
        <v>119</v>
      </c>
      <c r="C3" s="138" t="s">
        <v>279</v>
      </c>
      <c r="D3" s="81" t="s">
        <v>120</v>
      </c>
    </row>
    <row r="4" spans="1:4" s="78" customFormat="1" ht="40.5">
      <c r="A4" s="77" t="s">
        <v>128</v>
      </c>
      <c r="B4" s="87" t="s">
        <v>254</v>
      </c>
      <c r="C4" s="83" t="s">
        <v>130</v>
      </c>
      <c r="D4" s="129" t="s">
        <v>216</v>
      </c>
    </row>
    <row r="5" spans="1:4" s="78" customFormat="1" ht="40.5">
      <c r="A5" s="84" t="s">
        <v>137</v>
      </c>
      <c r="B5" s="77" t="s">
        <v>129</v>
      </c>
      <c r="C5" s="132" t="s">
        <v>276</v>
      </c>
      <c r="D5" s="132" t="s">
        <v>271</v>
      </c>
    </row>
    <row r="6" spans="1:4" s="78" customFormat="1" ht="33" customHeight="1">
      <c r="A6" s="77" t="s">
        <v>132</v>
      </c>
      <c r="B6" s="132" t="s">
        <v>355</v>
      </c>
      <c r="C6" s="144" t="s">
        <v>337</v>
      </c>
      <c r="D6" s="144" t="s">
        <v>272</v>
      </c>
    </row>
    <row r="7" spans="1:4" s="78" customFormat="1" ht="40.5">
      <c r="A7" s="132" t="s">
        <v>138</v>
      </c>
      <c r="B7" s="145" t="s">
        <v>356</v>
      </c>
      <c r="C7" s="77"/>
      <c r="D7" s="144" t="s">
        <v>297</v>
      </c>
    </row>
    <row r="8" spans="1:4" s="78" customFormat="1" ht="37.5" customHeight="1">
      <c r="A8" s="144" t="s">
        <v>142</v>
      </c>
      <c r="B8" s="143" t="s">
        <v>341</v>
      </c>
      <c r="C8" s="85"/>
      <c r="D8" s="144" t="s">
        <v>301</v>
      </c>
    </row>
    <row r="9" spans="1:4" s="78" customFormat="1" ht="37.5" customHeight="1">
      <c r="A9" s="87"/>
      <c r="B9" s="87" t="s">
        <v>367</v>
      </c>
      <c r="C9" s="142"/>
      <c r="D9" s="87" t="s">
        <v>354</v>
      </c>
    </row>
    <row r="10" spans="1:4" s="78" customFormat="1" ht="37.5" customHeight="1">
      <c r="A10" s="132"/>
      <c r="B10" s="132" t="s">
        <v>229</v>
      </c>
      <c r="C10" s="131"/>
      <c r="D10" s="13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130">
        <v>42296</v>
      </c>
    </row>
    <row r="97" spans="1:1">
      <c r="A97" s="2" t="s">
        <v>214</v>
      </c>
    </row>
    <row r="98" spans="1:1">
      <c r="A98" s="2" t="s">
        <v>215</v>
      </c>
    </row>
    <row r="99" spans="1:1">
      <c r="A99" s="2" t="s">
        <v>217</v>
      </c>
    </row>
    <row r="100" spans="1:1">
      <c r="A100" s="2" t="s">
        <v>218</v>
      </c>
    </row>
    <row r="102" spans="1:1">
      <c r="A102" s="130">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30">
        <v>42310</v>
      </c>
    </row>
    <row r="118" spans="1:1">
      <c r="A118" s="2" t="s">
        <v>233</v>
      </c>
    </row>
    <row r="119" spans="1:1">
      <c r="A119" s="2" t="s">
        <v>234</v>
      </c>
    </row>
    <row r="120" spans="1:1">
      <c r="A120" s="2" t="s">
        <v>235</v>
      </c>
    </row>
    <row r="121" spans="1:1">
      <c r="A121" s="133"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30">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5" customFormat="1">
      <c r="A153" s="134" t="s">
        <v>266</v>
      </c>
    </row>
    <row r="154" spans="1:1" s="135" customFormat="1">
      <c r="A154" s="2" t="s">
        <v>267</v>
      </c>
    </row>
    <row r="155" spans="1:1" s="135" customFormat="1">
      <c r="A155" s="2" t="s">
        <v>268</v>
      </c>
    </row>
    <row r="156" spans="1:1" s="135" customFormat="1">
      <c r="A156" s="5" t="s">
        <v>270</v>
      </c>
    </row>
    <row r="157" spans="1:1" s="135" customFormat="1" ht="17.25" customHeight="1">
      <c r="A157" s="11" t="s">
        <v>261</v>
      </c>
    </row>
    <row r="158" spans="1:1" s="135" customFormat="1" ht="33" customHeight="1">
      <c r="A158" s="7" t="s">
        <v>269</v>
      </c>
    </row>
    <row r="159" spans="1:1">
      <c r="A159" s="2" t="s">
        <v>263</v>
      </c>
    </row>
    <row r="160" spans="1:1">
      <c r="A160" s="2" t="s">
        <v>265</v>
      </c>
    </row>
    <row r="161" spans="1:1">
      <c r="A161" s="2" t="s">
        <v>264</v>
      </c>
    </row>
    <row r="163" spans="1:1">
      <c r="A163" s="11" t="s">
        <v>273</v>
      </c>
    </row>
    <row r="164" spans="1:1">
      <c r="A164" s="137" t="s">
        <v>274</v>
      </c>
    </row>
    <row r="165" spans="1:1">
      <c r="A165" s="137" t="s">
        <v>275</v>
      </c>
    </row>
    <row r="166" spans="1:1">
      <c r="A166" s="137" t="s">
        <v>277</v>
      </c>
    </row>
    <row r="167" spans="1:1">
      <c r="A167" s="137"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4" t="s">
        <v>295</v>
      </c>
    </row>
    <row r="177" spans="1:1">
      <c r="A177" s="11" t="s">
        <v>294</v>
      </c>
    </row>
    <row r="178" spans="1:1">
      <c r="A178" s="2" t="s">
        <v>287</v>
      </c>
    </row>
    <row r="179" spans="1:1">
      <c r="A179" s="2" t="s">
        <v>288</v>
      </c>
    </row>
    <row r="180" spans="1:1">
      <c r="A180" s="2" t="s">
        <v>291</v>
      </c>
    </row>
    <row r="181" spans="1:1" s="78" customFormat="1">
      <c r="A181" s="11" t="s">
        <v>289</v>
      </c>
    </row>
    <row r="182" spans="1:1" s="78"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U66"/>
  <sheetViews>
    <sheetView tabSelected="1" zoomScaleSheetLayoutView="100" workbookViewId="0">
      <pane ySplit="1" topLeftCell="A2" activePane="bottomLeft" state="frozen"/>
      <selection activeCell="I4" sqref="I4"/>
      <selection pane="bottomLeft" activeCell="U1" sqref="U1"/>
    </sheetView>
  </sheetViews>
  <sheetFormatPr defaultColWidth="10" defaultRowHeight="13.5" customHeight="1"/>
  <cols>
    <col min="1" max="1" width="4.375" customWidth="1"/>
    <col min="2" max="2" width="11.625" style="2" customWidth="1"/>
    <col min="3" max="3" width="5.375" style="75" customWidth="1"/>
    <col min="4" max="4" width="6.75" customWidth="1"/>
    <col min="5" max="5" width="5.75" style="25" customWidth="1"/>
    <col min="6" max="6" width="7.875" customWidth="1"/>
    <col min="7" max="7" width="16.625" style="149" customWidth="1"/>
    <col min="8" max="8" width="12.5" customWidth="1"/>
    <col min="9" max="9" width="5.5" customWidth="1"/>
    <col min="10" max="10" width="18.5" style="161"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10" style="147"/>
  </cols>
  <sheetData>
    <row r="1" spans="1:21" ht="14.25" thickBot="1">
      <c r="A1" s="16" t="s">
        <v>68</v>
      </c>
      <c r="B1" s="17" t="s">
        <v>69</v>
      </c>
      <c r="C1" s="140" t="s">
        <v>70</v>
      </c>
      <c r="D1" s="18" t="s">
        <v>71</v>
      </c>
      <c r="E1" s="19" t="s">
        <v>72</v>
      </c>
      <c r="F1" s="18" t="s">
        <v>73</v>
      </c>
      <c r="G1" s="153" t="s">
        <v>74</v>
      </c>
      <c r="H1" s="18" t="s">
        <v>75</v>
      </c>
      <c r="I1" s="18" t="s">
        <v>76</v>
      </c>
      <c r="J1" s="20" t="s">
        <v>77</v>
      </c>
      <c r="K1" s="18" t="s">
        <v>78</v>
      </c>
      <c r="L1" s="19" t="s">
        <v>79</v>
      </c>
      <c r="M1" s="18" t="s">
        <v>80</v>
      </c>
      <c r="N1" s="21" t="s">
        <v>81</v>
      </c>
      <c r="O1" s="22" t="s">
        <v>82</v>
      </c>
      <c r="P1" s="23" t="s">
        <v>83</v>
      </c>
      <c r="Q1" s="24" t="s">
        <v>84</v>
      </c>
      <c r="T1" t="s">
        <v>408</v>
      </c>
    </row>
    <row r="2" spans="1:21">
      <c r="A2">
        <v>1</v>
      </c>
      <c r="B2" s="2" t="s">
        <v>338</v>
      </c>
      <c r="C2" s="75" t="s">
        <v>310</v>
      </c>
      <c r="D2">
        <v>0.01</v>
      </c>
      <c r="E2" s="25" t="s">
        <v>382</v>
      </c>
      <c r="F2" t="s">
        <v>397</v>
      </c>
      <c r="G2" s="149">
        <v>42494.026388888888</v>
      </c>
      <c r="H2">
        <v>106.851</v>
      </c>
      <c r="I2" t="s">
        <v>398</v>
      </c>
      <c r="J2" s="159">
        <v>42496.193749999999</v>
      </c>
      <c r="K2">
        <v>107.117</v>
      </c>
      <c r="L2" s="25" t="s">
        <v>393</v>
      </c>
      <c r="M2" s="141" t="s">
        <v>372</v>
      </c>
      <c r="N2" s="26">
        <v>26.6</v>
      </c>
      <c r="O2" s="27"/>
      <c r="P2">
        <v>266</v>
      </c>
      <c r="Q2" s="139">
        <v>500266</v>
      </c>
      <c r="R2" s="76"/>
      <c r="S2" s="147">
        <f t="shared" ref="S2:S17" si="0">SUM(H2)-K2</f>
        <v>-0.26600000000000534</v>
      </c>
      <c r="T2">
        <v>4522</v>
      </c>
      <c r="U2">
        <v>504522</v>
      </c>
    </row>
    <row r="3" spans="1:21">
      <c r="A3">
        <v>2</v>
      </c>
      <c r="B3" s="2" t="s">
        <v>391</v>
      </c>
      <c r="C3" s="75" t="s">
        <v>392</v>
      </c>
      <c r="F3" t="s">
        <v>397</v>
      </c>
      <c r="G3" s="149">
        <v>42495.411111111112</v>
      </c>
      <c r="H3">
        <v>1.52925</v>
      </c>
      <c r="I3" t="s">
        <v>397</v>
      </c>
      <c r="J3" s="159">
        <v>42495.568749999999</v>
      </c>
      <c r="K3">
        <v>1.52237</v>
      </c>
      <c r="L3" s="25" t="s">
        <v>383</v>
      </c>
      <c r="M3" s="141" t="s">
        <v>314</v>
      </c>
      <c r="N3" s="26">
        <v>68.8</v>
      </c>
      <c r="O3" s="27"/>
      <c r="P3">
        <v>533</v>
      </c>
      <c r="Q3" s="139">
        <f>Q2+P3</f>
        <v>500799</v>
      </c>
      <c r="R3" s="76"/>
      <c r="S3" s="147">
        <f t="shared" si="0"/>
        <v>6.8799999999999972E-3</v>
      </c>
      <c r="T3">
        <v>11060</v>
      </c>
      <c r="U3" s="28">
        <f>U2+T3</f>
        <v>515582</v>
      </c>
    </row>
    <row r="4" spans="1:21">
      <c r="A4">
        <v>3</v>
      </c>
      <c r="B4" s="2" t="s">
        <v>399</v>
      </c>
      <c r="C4" s="75" t="s">
        <v>310</v>
      </c>
      <c r="F4" t="s">
        <v>397</v>
      </c>
      <c r="G4" s="149">
        <v>42499.603472222225</v>
      </c>
      <c r="H4">
        <v>83.775000000000006</v>
      </c>
      <c r="I4" t="s">
        <v>404</v>
      </c>
      <c r="J4" s="159">
        <v>42500.978472222225</v>
      </c>
      <c r="K4">
        <v>84.643000000000001</v>
      </c>
      <c r="L4" s="25" t="s">
        <v>383</v>
      </c>
      <c r="M4" s="141" t="s">
        <v>314</v>
      </c>
      <c r="N4" s="26">
        <v>86.8</v>
      </c>
      <c r="O4" s="27"/>
      <c r="P4">
        <v>870</v>
      </c>
      <c r="Q4" s="139">
        <f t="shared" ref="Q3:Q6" si="1">Q3+P4</f>
        <v>501669</v>
      </c>
      <c r="R4" s="76"/>
      <c r="S4" s="147">
        <f t="shared" si="0"/>
        <v>-0.867999999999995</v>
      </c>
      <c r="T4">
        <v>13050</v>
      </c>
      <c r="U4" s="28">
        <f t="shared" ref="U4:U5" si="2">U3+T4</f>
        <v>528632</v>
      </c>
    </row>
    <row r="5" spans="1:21">
      <c r="A5">
        <v>4</v>
      </c>
      <c r="B5" s="2" t="s">
        <v>400</v>
      </c>
      <c r="C5" s="75" t="s">
        <v>310</v>
      </c>
      <c r="F5" t="s">
        <v>407</v>
      </c>
      <c r="G5" s="149">
        <v>42500.772222222222</v>
      </c>
      <c r="H5">
        <v>0.67517000000000005</v>
      </c>
      <c r="I5" t="s">
        <v>402</v>
      </c>
      <c r="J5" s="159">
        <v>42501.006944444445</v>
      </c>
      <c r="K5">
        <v>0.68037000000000003</v>
      </c>
      <c r="L5" s="25" t="s">
        <v>383</v>
      </c>
      <c r="M5" s="141" t="s">
        <v>314</v>
      </c>
      <c r="N5" s="26">
        <v>52</v>
      </c>
      <c r="O5" s="27"/>
      <c r="P5">
        <v>575</v>
      </c>
      <c r="Q5" s="139">
        <f t="shared" si="1"/>
        <v>502244</v>
      </c>
      <c r="R5" s="76"/>
      <c r="S5" s="147">
        <f t="shared" si="0"/>
        <v>-5.1999999999999824E-3</v>
      </c>
      <c r="T5">
        <v>35650</v>
      </c>
      <c r="U5" s="28">
        <f t="shared" si="2"/>
        <v>564282</v>
      </c>
    </row>
    <row r="6" spans="1:21">
      <c r="A6">
        <v>5</v>
      </c>
      <c r="B6" s="2" t="s">
        <v>401</v>
      </c>
      <c r="C6" s="75" t="s">
        <v>392</v>
      </c>
      <c r="F6" t="s">
        <v>403</v>
      </c>
      <c r="G6" s="149">
        <v>42501.193749999999</v>
      </c>
      <c r="H6">
        <v>123.889</v>
      </c>
      <c r="I6" t="s">
        <v>403</v>
      </c>
      <c r="J6" s="159">
        <v>42501.258333333331</v>
      </c>
      <c r="K6">
        <v>123.887</v>
      </c>
      <c r="L6" s="25" t="s">
        <v>405</v>
      </c>
      <c r="M6" s="141" t="s">
        <v>406</v>
      </c>
      <c r="N6" s="26">
        <v>2</v>
      </c>
      <c r="O6" s="27"/>
      <c r="P6">
        <v>2</v>
      </c>
      <c r="Q6" s="139">
        <f t="shared" si="1"/>
        <v>502246</v>
      </c>
      <c r="R6" s="76"/>
      <c r="S6" s="147">
        <f t="shared" si="0"/>
        <v>1.9999999999953388E-3</v>
      </c>
    </row>
    <row r="7" spans="1:21">
      <c r="A7">
        <v>6</v>
      </c>
      <c r="J7" s="159"/>
      <c r="M7" s="141"/>
      <c r="O7" s="27"/>
      <c r="Q7" s="139"/>
      <c r="R7" s="76"/>
      <c r="S7" s="147">
        <f>SUM(H7)-K7</f>
        <v>0</v>
      </c>
    </row>
    <row r="8" spans="1:21">
      <c r="A8">
        <v>7</v>
      </c>
      <c r="J8" s="159"/>
      <c r="M8" s="141"/>
      <c r="O8" s="27"/>
      <c r="Q8" s="139"/>
      <c r="R8" s="76"/>
      <c r="S8" s="147">
        <f>SUM(H8)-K8</f>
        <v>0</v>
      </c>
    </row>
    <row r="9" spans="1:21">
      <c r="A9">
        <v>8</v>
      </c>
      <c r="J9" s="159"/>
      <c r="M9" s="141"/>
      <c r="O9" s="27"/>
      <c r="Q9" s="139"/>
      <c r="R9" s="76"/>
      <c r="S9" s="147">
        <f t="shared" si="0"/>
        <v>0</v>
      </c>
    </row>
    <row r="10" spans="1:21">
      <c r="A10">
        <v>9</v>
      </c>
      <c r="J10" s="159"/>
      <c r="M10" s="141"/>
      <c r="O10" s="27"/>
      <c r="Q10" s="139"/>
      <c r="R10" s="76"/>
      <c r="S10" s="147">
        <f>SUM(H10)-K10</f>
        <v>0</v>
      </c>
    </row>
    <row r="11" spans="1:21">
      <c r="A11">
        <v>10</v>
      </c>
      <c r="J11" s="159"/>
      <c r="M11" s="141"/>
      <c r="O11" s="27"/>
      <c r="Q11" s="139"/>
      <c r="R11" s="76"/>
      <c r="S11" s="147">
        <f t="shared" si="0"/>
        <v>0</v>
      </c>
    </row>
    <row r="12" spans="1:21">
      <c r="A12">
        <v>11</v>
      </c>
      <c r="J12" s="159"/>
      <c r="M12" s="141"/>
      <c r="O12" s="27"/>
      <c r="Q12" s="139"/>
      <c r="R12" s="76"/>
      <c r="S12" s="147">
        <f t="shared" si="0"/>
        <v>0</v>
      </c>
    </row>
    <row r="13" spans="1:21">
      <c r="A13">
        <v>12</v>
      </c>
      <c r="J13" s="159"/>
      <c r="M13" s="141"/>
      <c r="O13" s="27"/>
      <c r="Q13" s="139"/>
      <c r="R13" s="76"/>
      <c r="S13" s="147">
        <f t="shared" si="0"/>
        <v>0</v>
      </c>
    </row>
    <row r="14" spans="1:21">
      <c r="A14">
        <v>13</v>
      </c>
      <c r="J14" s="159"/>
      <c r="M14" s="141"/>
      <c r="O14" s="27"/>
      <c r="Q14" s="139"/>
      <c r="R14" s="76"/>
      <c r="S14" s="147">
        <f t="shared" si="0"/>
        <v>0</v>
      </c>
    </row>
    <row r="15" spans="1:21">
      <c r="A15">
        <v>14</v>
      </c>
      <c r="J15" s="159"/>
      <c r="M15" s="141"/>
      <c r="O15" s="27"/>
      <c r="Q15" s="139"/>
      <c r="R15" s="76"/>
      <c r="S15" s="147">
        <f t="shared" si="0"/>
        <v>0</v>
      </c>
    </row>
    <row r="16" spans="1:21">
      <c r="A16">
        <v>15</v>
      </c>
      <c r="J16" s="159"/>
      <c r="M16" s="141"/>
      <c r="O16" s="27"/>
      <c r="Q16" s="139"/>
      <c r="R16" s="76"/>
      <c r="S16" s="147">
        <f>SUM(H16)-K16</f>
        <v>0</v>
      </c>
    </row>
    <row r="17" spans="1:19">
      <c r="A17">
        <v>16</v>
      </c>
      <c r="J17" s="159"/>
      <c r="M17" s="141"/>
      <c r="O17" s="27"/>
      <c r="Q17" s="139"/>
      <c r="R17" s="76"/>
      <c r="S17" s="147">
        <f t="shared" si="0"/>
        <v>0</v>
      </c>
    </row>
    <row r="18" spans="1:19">
      <c r="A18">
        <v>17</v>
      </c>
      <c r="J18" s="75"/>
      <c r="M18" s="152"/>
      <c r="O18" s="27"/>
      <c r="P18" s="78"/>
      <c r="Q18" s="139"/>
      <c r="R18" s="76"/>
    </row>
    <row r="19" spans="1:19">
      <c r="A19">
        <v>18</v>
      </c>
      <c r="J19" s="75"/>
      <c r="M19" s="141"/>
      <c r="O19" s="27"/>
      <c r="P19" s="78"/>
      <c r="Q19" s="139"/>
      <c r="R19" s="76"/>
    </row>
    <row r="20" spans="1:19">
      <c r="A20">
        <v>19</v>
      </c>
      <c r="J20" s="159"/>
      <c r="M20" s="141"/>
      <c r="O20" s="27"/>
      <c r="P20" s="135"/>
      <c r="Q20" s="139"/>
      <c r="R20" s="76"/>
      <c r="S20" s="147">
        <f t="shared" ref="S20:S24" si="3">SUM(H20)-K20</f>
        <v>0</v>
      </c>
    </row>
    <row r="21" spans="1:19">
      <c r="A21">
        <v>20</v>
      </c>
      <c r="J21" s="159"/>
      <c r="M21" s="141"/>
      <c r="O21" s="27"/>
      <c r="P21" s="135"/>
      <c r="Q21" s="139"/>
      <c r="R21" s="76"/>
      <c r="S21" s="147">
        <f t="shared" si="3"/>
        <v>0</v>
      </c>
    </row>
    <row r="22" spans="1:19">
      <c r="A22">
        <v>21</v>
      </c>
      <c r="J22" s="159"/>
      <c r="M22" s="141"/>
      <c r="O22" s="27"/>
      <c r="P22" s="135"/>
      <c r="Q22" s="139"/>
      <c r="R22" s="76"/>
      <c r="S22" s="147">
        <f t="shared" si="3"/>
        <v>0</v>
      </c>
    </row>
    <row r="23" spans="1:19">
      <c r="A23">
        <v>22</v>
      </c>
      <c r="J23" s="159"/>
      <c r="M23" s="141"/>
      <c r="O23" s="27"/>
      <c r="P23" s="135"/>
      <c r="Q23" s="139"/>
      <c r="R23" s="76"/>
      <c r="S23" s="147">
        <f t="shared" si="3"/>
        <v>0</v>
      </c>
    </row>
    <row r="24" spans="1:19">
      <c r="A24">
        <v>23</v>
      </c>
      <c r="J24" s="159"/>
      <c r="M24" s="141"/>
      <c r="O24" s="27"/>
      <c r="P24" s="135"/>
      <c r="Q24" s="139"/>
      <c r="R24" s="76"/>
      <c r="S24" s="147">
        <f t="shared" si="3"/>
        <v>0</v>
      </c>
    </row>
    <row r="25" spans="1:19">
      <c r="A25">
        <v>24</v>
      </c>
      <c r="J25" s="159"/>
      <c r="M25" s="141"/>
      <c r="O25" s="27"/>
      <c r="P25" s="135"/>
      <c r="Q25" s="139"/>
      <c r="R25" s="76"/>
      <c r="S25" s="147">
        <f t="shared" ref="S25:S28" si="4">SUM(H25)-K25</f>
        <v>0</v>
      </c>
    </row>
    <row r="26" spans="1:19">
      <c r="A26">
        <v>25</v>
      </c>
      <c r="J26" s="159"/>
      <c r="M26" s="141"/>
      <c r="O26" s="27"/>
      <c r="P26" s="135"/>
      <c r="Q26" s="139"/>
      <c r="R26" s="76"/>
      <c r="S26" s="147">
        <f t="shared" si="4"/>
        <v>0</v>
      </c>
    </row>
    <row r="27" spans="1:19">
      <c r="A27">
        <v>26</v>
      </c>
      <c r="H27" s="75"/>
      <c r="J27" s="159"/>
      <c r="M27" s="141"/>
      <c r="O27" s="27"/>
      <c r="P27" s="135"/>
      <c r="Q27" s="139"/>
      <c r="R27" s="76"/>
      <c r="S27" s="147">
        <f t="shared" si="4"/>
        <v>0</v>
      </c>
    </row>
    <row r="28" spans="1:19">
      <c r="A28">
        <v>27</v>
      </c>
      <c r="J28" s="159"/>
      <c r="M28" s="141"/>
      <c r="O28" s="27"/>
      <c r="P28" s="135"/>
      <c r="Q28" s="139"/>
      <c r="R28" s="76"/>
      <c r="S28" s="147">
        <f t="shared" si="4"/>
        <v>0</v>
      </c>
    </row>
    <row r="29" spans="1:19">
      <c r="J29" s="160"/>
      <c r="M29" s="152"/>
      <c r="O29" s="27"/>
      <c r="P29" s="78"/>
      <c r="Q29" s="139"/>
      <c r="R29" s="76"/>
    </row>
    <row r="30" spans="1:19">
      <c r="J30" s="160"/>
      <c r="M30" s="141"/>
      <c r="O30" s="27"/>
      <c r="Q30" s="139"/>
      <c r="R30" s="76"/>
    </row>
    <row r="31" spans="1:19">
      <c r="J31" s="160"/>
      <c r="M31" s="141"/>
      <c r="O31" s="27"/>
      <c r="Q31" s="139"/>
      <c r="R31" s="76"/>
    </row>
    <row r="32" spans="1:19">
      <c r="J32" s="160"/>
      <c r="M32" s="141"/>
      <c r="O32" s="27"/>
      <c r="Q32" s="139"/>
      <c r="R32" s="76"/>
    </row>
    <row r="33" spans="4:18">
      <c r="J33" s="160"/>
      <c r="M33" s="141"/>
      <c r="O33" s="27"/>
      <c r="Q33" s="139"/>
      <c r="R33" s="76"/>
    </row>
    <row r="34" spans="4:18">
      <c r="J34" s="160"/>
      <c r="O34" s="27"/>
      <c r="R34" s="76"/>
    </row>
    <row r="35" spans="4:18">
      <c r="N35" s="27"/>
      <c r="O35" s="27"/>
    </row>
    <row r="36" spans="4:18" ht="13.5" customHeight="1" thickBot="1"/>
    <row r="37" spans="4:18" ht="13.5" customHeight="1" thickBot="1">
      <c r="D37" s="175" t="s">
        <v>86</v>
      </c>
      <c r="E37" s="176"/>
      <c r="F37" s="177"/>
      <c r="G37" s="178"/>
      <c r="H37" s="29"/>
      <c r="I37" s="29"/>
      <c r="J37" s="162"/>
      <c r="L37" s="179" t="s">
        <v>87</v>
      </c>
      <c r="M37" s="180"/>
      <c r="N37" s="30" t="s">
        <v>88</v>
      </c>
      <c r="O37" s="31" t="s">
        <v>89</v>
      </c>
    </row>
    <row r="38" spans="4:18">
      <c r="D38" s="32" t="s">
        <v>90</v>
      </c>
      <c r="E38" s="33"/>
      <c r="F38" s="173"/>
      <c r="G38" s="174"/>
      <c r="H38" s="34"/>
      <c r="I38" s="34"/>
      <c r="J38" s="163"/>
      <c r="L38" s="35"/>
      <c r="M38" s="36"/>
      <c r="N38" s="37"/>
      <c r="O38" s="38"/>
      <c r="P38" s="28"/>
    </row>
    <row r="39" spans="4:18">
      <c r="D39" s="39" t="s">
        <v>91</v>
      </c>
      <c r="E39" s="40"/>
      <c r="F39" s="173"/>
      <c r="G39" s="174"/>
      <c r="H39" s="34"/>
      <c r="I39" s="34"/>
      <c r="J39" s="164"/>
      <c r="L39" s="41"/>
      <c r="M39" s="42"/>
      <c r="N39" s="43"/>
      <c r="O39" s="44"/>
    </row>
    <row r="40" spans="4:18">
      <c r="D40" s="39" t="s">
        <v>92</v>
      </c>
      <c r="E40" s="40"/>
      <c r="F40" s="173"/>
      <c r="G40" s="174"/>
      <c r="H40" s="34"/>
      <c r="I40" s="34"/>
      <c r="J40" s="163"/>
      <c r="L40" s="41"/>
      <c r="M40" s="42"/>
      <c r="N40" s="43"/>
      <c r="O40" s="45"/>
    </row>
    <row r="41" spans="4:18">
      <c r="D41" s="39" t="s">
        <v>93</v>
      </c>
      <c r="E41" s="40"/>
      <c r="F41" s="173"/>
      <c r="G41" s="174"/>
      <c r="H41" s="34"/>
      <c r="I41" s="34"/>
      <c r="J41" s="163"/>
      <c r="L41" s="41"/>
      <c r="M41" s="42"/>
      <c r="N41" s="43"/>
      <c r="O41" s="45"/>
    </row>
    <row r="42" spans="4:18">
      <c r="D42" s="39" t="s">
        <v>94</v>
      </c>
      <c r="E42" s="40"/>
      <c r="F42" s="173"/>
      <c r="G42" s="174"/>
      <c r="H42" s="34"/>
      <c r="I42" s="34"/>
      <c r="J42" s="163"/>
      <c r="L42" s="41"/>
      <c r="M42" s="42"/>
      <c r="N42" s="43"/>
      <c r="O42" s="45"/>
    </row>
    <row r="43" spans="4:18">
      <c r="D43" s="39" t="s">
        <v>95</v>
      </c>
      <c r="E43" s="46"/>
      <c r="F43" s="173"/>
      <c r="G43" s="174"/>
      <c r="H43" s="34"/>
      <c r="I43" s="34"/>
      <c r="J43" s="163"/>
      <c r="L43" s="41"/>
      <c r="M43" s="42"/>
      <c r="N43" s="43"/>
      <c r="O43" s="45"/>
    </row>
    <row r="44" spans="4:18">
      <c r="D44" s="39" t="s">
        <v>96</v>
      </c>
      <c r="E44" s="40"/>
      <c r="F44" s="173"/>
      <c r="G44" s="174"/>
      <c r="H44" s="34"/>
      <c r="I44" s="34"/>
      <c r="J44" s="163"/>
      <c r="L44" s="41"/>
      <c r="M44" s="42"/>
      <c r="N44" s="43"/>
      <c r="O44" s="45"/>
    </row>
    <row r="45" spans="4:18">
      <c r="D45" s="47" t="s">
        <v>97</v>
      </c>
      <c r="E45" s="48"/>
      <c r="F45" s="181"/>
      <c r="G45" s="182"/>
      <c r="H45" s="34"/>
      <c r="I45" s="34"/>
      <c r="J45" s="163"/>
      <c r="L45" s="41"/>
      <c r="M45" s="42"/>
      <c r="N45" s="43"/>
      <c r="O45" s="45"/>
    </row>
    <row r="46" spans="4:18">
      <c r="D46" s="39" t="s">
        <v>98</v>
      </c>
      <c r="E46" s="40"/>
      <c r="F46" s="173"/>
      <c r="G46" s="174"/>
      <c r="H46" s="34"/>
      <c r="I46" s="34"/>
      <c r="J46" s="163"/>
      <c r="L46" s="41"/>
      <c r="M46" s="42"/>
      <c r="N46" s="43"/>
      <c r="O46" s="45"/>
    </row>
    <row r="47" spans="4:18">
      <c r="D47" s="39" t="s">
        <v>99</v>
      </c>
      <c r="E47" s="46"/>
      <c r="F47" s="173"/>
      <c r="G47" s="174"/>
      <c r="H47" s="34"/>
      <c r="I47" s="34"/>
      <c r="J47" s="163"/>
      <c r="L47" s="41"/>
      <c r="M47" s="42"/>
      <c r="N47" s="43"/>
      <c r="O47" s="45"/>
    </row>
    <row r="48" spans="4:18">
      <c r="D48" s="39" t="s">
        <v>100</v>
      </c>
      <c r="E48" s="40"/>
      <c r="F48" s="173"/>
      <c r="G48" s="174"/>
      <c r="H48" s="34"/>
      <c r="I48" s="34"/>
      <c r="J48" s="163"/>
      <c r="L48" s="35"/>
      <c r="M48" s="36"/>
      <c r="N48" s="37"/>
      <c r="O48" s="49"/>
    </row>
    <row r="49" spans="4:15">
      <c r="D49" s="39" t="s">
        <v>101</v>
      </c>
      <c r="E49" s="50"/>
      <c r="F49" s="173"/>
      <c r="G49" s="174"/>
      <c r="H49" s="34"/>
      <c r="I49" s="34"/>
      <c r="J49" s="163"/>
      <c r="L49" s="41"/>
      <c r="M49" s="42"/>
      <c r="N49" s="43"/>
      <c r="O49" s="45"/>
    </row>
    <row r="50" spans="4:15">
      <c r="D50" s="39" t="s">
        <v>102</v>
      </c>
      <c r="E50" s="50"/>
      <c r="F50" s="173"/>
      <c r="G50" s="174"/>
      <c r="H50" s="34"/>
      <c r="I50" s="34"/>
      <c r="J50" s="163"/>
      <c r="L50" s="41"/>
      <c r="M50" s="42"/>
      <c r="N50" s="43"/>
      <c r="O50" s="45"/>
    </row>
    <row r="51" spans="4:15">
      <c r="D51" s="39" t="s">
        <v>103</v>
      </c>
      <c r="E51" s="40"/>
      <c r="F51" s="173"/>
      <c r="G51" s="174"/>
      <c r="H51" s="34"/>
      <c r="I51" s="34"/>
      <c r="J51" s="163"/>
      <c r="L51" s="41"/>
      <c r="M51" s="42"/>
      <c r="N51" s="43"/>
      <c r="O51" s="45"/>
    </row>
    <row r="52" spans="4:15">
      <c r="D52" s="39" t="s">
        <v>104</v>
      </c>
      <c r="E52" s="40"/>
      <c r="F52" s="173"/>
      <c r="G52" s="174"/>
      <c r="H52" s="34"/>
      <c r="I52" s="34"/>
      <c r="J52" s="163"/>
      <c r="L52" s="41"/>
      <c r="M52" s="42"/>
      <c r="N52" s="43"/>
      <c r="O52" s="45"/>
    </row>
    <row r="53" spans="4:15">
      <c r="D53" s="39" t="s">
        <v>105</v>
      </c>
      <c r="E53" s="51"/>
      <c r="F53" s="173"/>
      <c r="G53" s="174"/>
      <c r="H53" s="34"/>
      <c r="I53" s="34"/>
      <c r="J53" s="163"/>
      <c r="L53" s="41"/>
      <c r="M53" s="42"/>
      <c r="N53" s="43"/>
      <c r="O53" s="45"/>
    </row>
    <row r="54" spans="4:15" ht="14.25" thickBot="1">
      <c r="D54" s="52" t="s">
        <v>106</v>
      </c>
      <c r="E54" s="53"/>
      <c r="F54" s="183"/>
      <c r="G54" s="184"/>
      <c r="H54" s="34"/>
      <c r="I54" s="34"/>
      <c r="J54" s="163"/>
      <c r="L54" s="41"/>
      <c r="M54" s="42"/>
      <c r="N54" s="43"/>
      <c r="O54" s="45"/>
    </row>
    <row r="55" spans="4:15">
      <c r="G55" s="154"/>
      <c r="H55" s="34"/>
      <c r="I55" s="34"/>
      <c r="J55" s="163"/>
      <c r="L55" s="41"/>
      <c r="M55" s="42"/>
      <c r="N55" s="43"/>
      <c r="O55" s="45"/>
    </row>
    <row r="56" spans="4:15" ht="14.25" thickBot="1">
      <c r="G56" s="154"/>
      <c r="H56" s="34"/>
      <c r="I56" s="34"/>
      <c r="J56" s="163"/>
      <c r="L56" s="54"/>
      <c r="M56" s="55"/>
      <c r="N56" s="56"/>
      <c r="O56" s="57"/>
    </row>
    <row r="57" spans="4:15" ht="14.25" thickBot="1">
      <c r="G57" s="154"/>
      <c r="H57" s="34"/>
      <c r="I57" s="34"/>
      <c r="J57" s="163"/>
      <c r="L57" s="58" t="s">
        <v>85</v>
      </c>
      <c r="M57" s="59">
        <f>SUM(M38:M56)</f>
        <v>0</v>
      </c>
      <c r="N57" s="60">
        <f>SUM(N38:N56)</f>
        <v>0</v>
      </c>
      <c r="O57" s="61">
        <f>SUM(O38:O56)</f>
        <v>0</v>
      </c>
    </row>
    <row r="59" spans="4:15" ht="13.5" customHeight="1" thickBot="1"/>
    <row r="60" spans="4:15" ht="13.5" customHeight="1" thickBot="1">
      <c r="G60" s="179" t="s">
        <v>107</v>
      </c>
      <c r="H60" s="180"/>
      <c r="I60" s="62" t="s">
        <v>88</v>
      </c>
      <c r="J60" s="165" t="s">
        <v>89</v>
      </c>
      <c r="K60" s="63" t="s">
        <v>108</v>
      </c>
    </row>
    <row r="61" spans="4:15">
      <c r="G61" s="155" t="s">
        <v>109</v>
      </c>
      <c r="H61" s="36">
        <v>0</v>
      </c>
      <c r="I61" s="64">
        <v>0</v>
      </c>
      <c r="J61" s="166">
        <v>0</v>
      </c>
      <c r="K61" s="65">
        <v>0</v>
      </c>
    </row>
    <row r="62" spans="4:15">
      <c r="G62" s="156" t="s">
        <v>110</v>
      </c>
      <c r="H62" s="42">
        <v>0</v>
      </c>
      <c r="I62" s="42">
        <v>0</v>
      </c>
      <c r="J62" s="167">
        <v>0</v>
      </c>
      <c r="K62" s="66">
        <v>0</v>
      </c>
    </row>
    <row r="63" spans="4:15">
      <c r="G63" s="156" t="s">
        <v>111</v>
      </c>
      <c r="H63" s="42">
        <v>0</v>
      </c>
      <c r="I63" s="42">
        <v>0</v>
      </c>
      <c r="J63" s="167">
        <v>0</v>
      </c>
      <c r="K63" s="66">
        <v>0</v>
      </c>
    </row>
    <row r="64" spans="4:15">
      <c r="G64" s="156" t="s">
        <v>112</v>
      </c>
      <c r="H64" s="42">
        <v>0</v>
      </c>
      <c r="I64" s="42">
        <v>0</v>
      </c>
      <c r="J64" s="167">
        <v>0</v>
      </c>
      <c r="K64" s="66">
        <v>0</v>
      </c>
    </row>
    <row r="65" spans="7:11" ht="14.25" thickBot="1">
      <c r="G65" s="157" t="s">
        <v>113</v>
      </c>
      <c r="H65" s="67">
        <v>0</v>
      </c>
      <c r="I65" s="67">
        <v>0</v>
      </c>
      <c r="J65" s="168">
        <v>0</v>
      </c>
      <c r="K65" s="68">
        <v>0</v>
      </c>
    </row>
    <row r="66" spans="7:11" ht="14.25" thickBot="1">
      <c r="G66" s="158" t="s">
        <v>85</v>
      </c>
      <c r="H66" s="69"/>
      <c r="I66" s="69"/>
      <c r="J66" s="167"/>
      <c r="K66" s="70">
        <f>SUM(K61:K65)</f>
        <v>0</v>
      </c>
    </row>
  </sheetData>
  <autoFilter ref="A1:Q34"/>
  <mergeCells count="20">
    <mergeCell ref="F54:G54"/>
    <mergeCell ref="G60:H60"/>
    <mergeCell ref="F48:G48"/>
    <mergeCell ref="F49:G49"/>
    <mergeCell ref="F50:G50"/>
    <mergeCell ref="F51:G51"/>
    <mergeCell ref="F52:G52"/>
    <mergeCell ref="F53:G53"/>
    <mergeCell ref="F47:G47"/>
    <mergeCell ref="D37:G37"/>
    <mergeCell ref="L37:M37"/>
    <mergeCell ref="F38:G38"/>
    <mergeCell ref="F39:G39"/>
    <mergeCell ref="F40:G40"/>
    <mergeCell ref="F41:G41"/>
    <mergeCell ref="F42:G42"/>
    <mergeCell ref="F43:G43"/>
    <mergeCell ref="F44:G44"/>
    <mergeCell ref="F45:G45"/>
    <mergeCell ref="F46:G46"/>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workbookViewId="0">
      <selection activeCell="M33" sqref="M33"/>
    </sheetView>
  </sheetViews>
  <sheetFormatPr defaultRowHeight="13.5"/>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topLeftCell="A29" workbookViewId="0">
      <selection activeCell="A66" sqref="A66"/>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F66" sqref="F66"/>
    </sheetView>
  </sheetViews>
  <sheetFormatPr defaultRowHeight="13.5"/>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A79"/>
  <sheetViews>
    <sheetView topLeftCell="A75" zoomScale="115" zoomScaleSheetLayoutView="100" workbookViewId="0">
      <selection activeCell="A92" sqref="A92"/>
    </sheetView>
  </sheetViews>
  <sheetFormatPr defaultColWidth="8.875"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373</v>
      </c>
    </row>
    <row r="68" spans="1:1" ht="29.25" customHeight="1">
      <c r="A68" s="5" t="s">
        <v>374</v>
      </c>
    </row>
    <row r="69" spans="1:1" ht="36" customHeight="1">
      <c r="A69" s="5" t="s">
        <v>375</v>
      </c>
    </row>
    <row r="70" spans="1:1">
      <c r="A70" s="2" t="s">
        <v>376</v>
      </c>
    </row>
    <row r="71" spans="1:1">
      <c r="A71" s="2" t="s">
        <v>377</v>
      </c>
    </row>
    <row r="72" spans="1:1">
      <c r="A72" s="2" t="s">
        <v>378</v>
      </c>
    </row>
    <row r="73" spans="1:1">
      <c r="A73" s="2" t="s">
        <v>379</v>
      </c>
    </row>
    <row r="75" spans="1:1">
      <c r="A75" s="11" t="s">
        <v>384</v>
      </c>
    </row>
    <row r="76" spans="1:1">
      <c r="A76" s="2" t="s">
        <v>385</v>
      </c>
    </row>
    <row r="77" spans="1:1">
      <c r="A77" s="11" t="s">
        <v>386</v>
      </c>
    </row>
    <row r="78" spans="1:1" ht="29.25" customHeight="1">
      <c r="A78" s="5" t="s">
        <v>388</v>
      </c>
    </row>
    <row r="79" spans="1:1">
      <c r="A79" s="11" t="s">
        <v>387</v>
      </c>
    </row>
  </sheetData>
  <phoneticPr fontId="2"/>
  <pageMargins left="0.75" right="0.75" top="1" bottom="1" header="0.51111111111111107" footer="0.51111111111111107"/>
  <pageSetup paperSize="9" firstPageNumber="4294963191"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00FF00"/>
  </sheetPr>
  <dimension ref="A1:D17"/>
  <sheetViews>
    <sheetView workbookViewId="0">
      <selection sqref="A1:D1"/>
    </sheetView>
  </sheetViews>
  <sheetFormatPr defaultRowHeight="13.5"/>
  <cols>
    <col min="1" max="4" width="35.625" style="80" customWidth="1"/>
  </cols>
  <sheetData>
    <row r="1" spans="1:4" ht="83.25" customHeight="1">
      <c r="A1" s="185" t="s">
        <v>131</v>
      </c>
      <c r="B1" s="186"/>
      <c r="C1" s="186"/>
      <c r="D1" s="186"/>
    </row>
    <row r="2" spans="1:4" s="78" customFormat="1" ht="21.75" customHeight="1" thickBot="1">
      <c r="A2" s="82" t="s">
        <v>124</v>
      </c>
      <c r="B2" s="82" t="s">
        <v>125</v>
      </c>
      <c r="C2" s="82" t="s">
        <v>126</v>
      </c>
      <c r="D2" s="82" t="s">
        <v>127</v>
      </c>
    </row>
    <row r="3" spans="1:4" s="78" customFormat="1" ht="27.75" thickTop="1">
      <c r="A3" s="138" t="s">
        <v>278</v>
      </c>
      <c r="B3" s="81" t="s">
        <v>119</v>
      </c>
      <c r="C3" s="83" t="s">
        <v>130</v>
      </c>
      <c r="D3" s="132" t="s">
        <v>272</v>
      </c>
    </row>
    <row r="4" spans="1:4" s="78" customFormat="1">
      <c r="A4" s="132" t="s">
        <v>142</v>
      </c>
      <c r="B4" s="148" t="s">
        <v>129</v>
      </c>
      <c r="C4" s="83"/>
      <c r="D4" s="132" t="s">
        <v>297</v>
      </c>
    </row>
    <row r="5" spans="1:4" s="78" customFormat="1" ht="40.5">
      <c r="A5" s="146"/>
      <c r="B5" s="148" t="s">
        <v>356</v>
      </c>
      <c r="C5" s="132"/>
      <c r="D5" s="87" t="s">
        <v>389</v>
      </c>
    </row>
    <row r="6" spans="1:4" s="78" customFormat="1" ht="33" customHeight="1">
      <c r="A6" s="146"/>
      <c r="B6" s="87" t="s">
        <v>380</v>
      </c>
      <c r="C6" s="144"/>
      <c r="D6" s="144"/>
    </row>
    <row r="7" spans="1:4" s="78" customFormat="1" ht="28.5" customHeight="1">
      <c r="A7" s="132"/>
      <c r="B7" s="132" t="s">
        <v>381</v>
      </c>
      <c r="C7" s="146"/>
      <c r="D7" s="144"/>
    </row>
    <row r="8" spans="1:4" s="78" customFormat="1" ht="37.5" customHeight="1">
      <c r="A8" s="144"/>
      <c r="B8" s="143" t="s">
        <v>390</v>
      </c>
      <c r="C8" s="146"/>
      <c r="D8" s="144"/>
    </row>
    <row r="9" spans="1:4" s="78" customFormat="1" ht="37.5" customHeight="1">
      <c r="A9" s="87"/>
      <c r="B9" s="87"/>
      <c r="C9" s="146"/>
      <c r="D9" s="87"/>
    </row>
    <row r="10" spans="1:4" s="78" customFormat="1" ht="37.5" customHeight="1">
      <c r="A10" s="132"/>
      <c r="B10" s="132"/>
      <c r="C10" s="146"/>
      <c r="D10" s="14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ルール＆合計</vt:lpstr>
      <vt:lpstr>トレード履歴</vt:lpstr>
      <vt:lpstr>EURJPY画像</vt:lpstr>
      <vt:lpstr>NZDUSD画像</vt:lpstr>
      <vt:lpstr>CADJPY画像</vt:lpstr>
      <vt:lpstr>USDJPY画像</vt:lpstr>
      <vt:lpstr>EURAUD画像</vt:lpstr>
      <vt:lpstr>気づき</vt:lpstr>
      <vt:lpstr>決まり事 2016.04～</vt:lpstr>
      <vt:lpstr>成績表</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2016-05-15T16:45:28Z</dcterms:modified>
</cp:coreProperties>
</file>