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0"/>
  </bookViews>
  <sheets>
    <sheet name="検証（GBUSD4H)" sheetId="1" r:id="rId1"/>
    <sheet name="気づき(GBPUSD)" sheetId="2" r:id="rId2"/>
    <sheet name="検証（EURUSD4H）" sheetId="3" r:id="rId3"/>
    <sheet name="検証（EURUSD1H)" sheetId="4" r:id="rId4"/>
    <sheet name="気づき(EURUSD)" sheetId="5" r:id="rId5"/>
    <sheet name="検証終了通貨" sheetId="6" r:id="rId6"/>
    <sheet name="テンプレート新" sheetId="7" r:id="rId7"/>
  </sheets>
  <definedNames>
    <definedName name="__Anonymous_Sheet_DB__1">#REF!</definedName>
    <definedName name="Excel_BuiltIn__FilterDatabase" localSheetId="6">'テンプレート新'!$R$7:$R$109</definedName>
    <definedName name="__Anonymous_Sheet_DB__2">#REF!</definedName>
    <definedName name="__Anonymous_Sheet_DB__1_1">#REF!</definedName>
    <definedName name="Excel_BuiltIn__FilterDatabase_1">#REF!</definedName>
    <definedName name="Excel_BuiltIn__FilterDatabase_2">#REF!</definedName>
    <definedName name="Excel_BuiltIn__FilterDatabase" localSheetId="2">'検証（EURUSD4H）'!$E$8:$V$109</definedName>
    <definedName name="Excel_BuiltIn__FilterDatabase" localSheetId="2">'検証（EURUSD4H）'!$R$7:$R$109</definedName>
    <definedName name="Excel_BuiltIn__FilterDatabase" localSheetId="3">'検証（EURUSD1H)'!$E$8:$V$109</definedName>
    <definedName name="Excel_BuiltIn__FilterDatabase" localSheetId="3">'検証（EURUSD1H)'!$R$7:$R$109</definedName>
    <definedName name="Excel_BuiltIn__FilterDatabase" localSheetId="0">'検証（GBUSD4H)'!$E$8:$V$109</definedName>
    <definedName name="Excel_BuiltIn__FilterDatabase" localSheetId="0">'検証（GBUSD4H)'!$R$7:$R$109</definedName>
  </definedNames>
  <calcPr fullCalcOnLoad="1"/>
</workbook>
</file>

<file path=xl/sharedStrings.xml><?xml version="1.0" encoding="utf-8"?>
<sst xmlns="http://schemas.openxmlformats.org/spreadsheetml/2006/main" count="457" uniqueCount="71">
  <si>
    <t>通貨ペア</t>
  </si>
  <si>
    <t>GBPUSD</t>
  </si>
  <si>
    <t>時間足</t>
  </si>
  <si>
    <t>4H足</t>
  </si>
  <si>
    <t>当初資金</t>
  </si>
  <si>
    <t>最終資金</t>
  </si>
  <si>
    <t>エントリー理由</t>
  </si>
  <si>
    <t>DCP
・ﾁｬｰﾄﾊﾟﾀｰﾝは直近高値（安値）とのWトップ（ボトム）限定
・エントリー足がEB/IBの場合、右足が高（安）値更新していること
・エントリー足がfib23.6を超えたら見送り</t>
  </si>
  <si>
    <t>決済理由</t>
  </si>
  <si>
    <r>
      <t xml:space="preserve">Fib38.2%
</t>
    </r>
    <r>
      <rPr>
        <sz val="9"/>
        <color indexed="8"/>
        <rFont val="ＭＳ Ｐゴシック"/>
        <family val="3"/>
      </rPr>
      <t>fibの起点はMACDの0ラインの逆転前</t>
    </r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</si>
  <si>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</si>
  <si>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</si>
  <si>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</si>
  <si>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</si>
  <si>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</si>
  <si>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</si>
  <si>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</si>
  <si>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</si>
  <si>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</si>
  <si>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</si>
  <si>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</si>
  <si>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</si>
  <si>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</si>
  <si>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</si>
  <si>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</si>
  <si>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</si>
  <si>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</si>
  <si>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</si>
  <si>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</si>
  <si>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</si>
  <si>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</si>
  <si>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</si>
  <si>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</si>
  <si>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</si>
  <si>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</si>
  <si>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%</t>
  </si>
  <si>
    <t>買</t>
  </si>
  <si>
    <t>売</t>
  </si>
  <si>
    <t>total</t>
  </si>
  <si>
    <t>気付き</t>
  </si>
  <si>
    <t>検証済み通貨ペア同様</t>
  </si>
  <si>
    <t>感想</t>
  </si>
  <si>
    <t>今後</t>
  </si>
  <si>
    <t>GBPUSD1Hの検証</t>
  </si>
  <si>
    <t>EURUSD</t>
  </si>
  <si>
    <t>DCP
・ﾁｬｰﾄﾊﾟﾀｰﾝは直近高値（安値）とのWトップ（ボトム）限定
・ﾌﾟﾗｲｽｱｸｼｮﾝはPB／EB限定</t>
  </si>
  <si>
    <t>1H足</t>
  </si>
  <si>
    <t>・オーダーを出しても、かからないままダイバーが解消したら、キャンセルする事</t>
  </si>
  <si>
    <t>・大きなWトップ（ボトム）で勝負する事</t>
  </si>
  <si>
    <t>→レンジの中の小さなチャートパターンは、リスクリウォードは良いが勝率悪し</t>
  </si>
  <si>
    <t>先行の４H検証と今回の１H検証では、若干のルール変更をした</t>
  </si>
  <si>
    <t>・４HはEB/PB限定としたが、１HはIBもOKとした。</t>
  </si>
  <si>
    <t>・エントリー足がfib23.6を割っていたら見送り</t>
  </si>
  <si>
    <t>→勝率・リスクリウォードは悪影響なし。トレードチャンスは増加</t>
  </si>
  <si>
    <t>GBPUSDの検証</t>
  </si>
  <si>
    <t>デモトレ結果を実践記にアップする（6/6～6/10：gbpchf１Hで1勝、audusd１Dでドロー（建値決済ルール適用））</t>
  </si>
  <si>
    <t>※usdjpy同様なので画像シート省略</t>
  </si>
  <si>
    <t>検証終了通貨</t>
  </si>
  <si>
    <t>ルール</t>
  </si>
  <si>
    <t>日足</t>
  </si>
  <si>
    <t>終了日</t>
  </si>
  <si>
    <t>4Ｈ足</t>
  </si>
  <si>
    <t>１Ｈ足</t>
  </si>
  <si>
    <t>PB</t>
  </si>
  <si>
    <t>USD/JPY</t>
  </si>
  <si>
    <t>－</t>
  </si>
  <si>
    <t>EUR/USD</t>
  </si>
  <si>
    <t>GBP/USD</t>
  </si>
  <si>
    <t>USDPY</t>
  </si>
  <si>
    <t>①天底でfibを引き、戻りが23.4%以下である
②反発方向にfibを引き、その戻りが38.2％以上である
③②のfibの0%でエントリー</t>
  </si>
  <si>
    <t>PL : ②fibの-61.8% 
SL ： エントリー前の高値安値(2pipsマージン）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</si>
</sst>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5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 horizontal="left" vertical="top"/>
    </xf>
    <xf numFmtId="164" fontId="0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center"/>
    </xf>
    <xf numFmtId="164" fontId="0" fillId="0" borderId="0" xfId="0" applyFill="1" applyAlignment="1">
      <alignment vertical="center"/>
    </xf>
    <xf numFmtId="164" fontId="2" fillId="0" borderId="8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9" borderId="1" xfId="0" applyFont="1" applyFill="1" applyBorder="1" applyAlignment="1">
      <alignment horizontal="center" vertical="center"/>
    </xf>
    <xf numFmtId="164" fontId="9" fillId="9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tabSelected="1" zoomScale="80" zoomScaleNormal="80" workbookViewId="0" topLeftCell="C1">
      <selection activeCell="H54" sqref="H5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2599052.228934286</v>
      </c>
      <c r="E4" s="8"/>
      <c r="F4" s="2" t="s">
        <v>11</v>
      </c>
      <c r="G4" s="2"/>
      <c r="H4" s="9">
        <f>SUM($T$9:$U$109)</f>
        <v>3807.4999999999995</v>
      </c>
      <c r="I4" s="9"/>
      <c r="J4" s="10" t="s">
        <v>12</v>
      </c>
      <c r="K4" s="10"/>
      <c r="L4" s="4">
        <f>MAX($C$9:$D$991)-C9</f>
        <v>2599052.2289342876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22</v>
      </c>
      <c r="D5" s="2" t="s">
        <v>15</v>
      </c>
      <c r="E5" s="13">
        <f>COUNTIF($R$9:$R$991,"&lt;0")</f>
        <v>7</v>
      </c>
      <c r="F5" s="2" t="s">
        <v>16</v>
      </c>
      <c r="G5" s="12">
        <f>COUNTIF($R$9:$R$991,"=0")</f>
        <v>0</v>
      </c>
      <c r="H5" s="2" t="s">
        <v>17</v>
      </c>
      <c r="I5" s="14">
        <f>C5/SUM(C5,E5,G5)</f>
        <v>0.7586206896551724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2006</v>
      </c>
      <c r="F9" s="38">
        <v>1</v>
      </c>
      <c r="G9" s="36" t="s">
        <v>36</v>
      </c>
      <c r="H9" s="39">
        <v>1.7423000000000002</v>
      </c>
      <c r="I9" s="39"/>
      <c r="J9" s="36">
        <f>ABS(H9-1.7374)*10000</f>
        <v>49.000000000001265</v>
      </c>
      <c r="K9" s="37">
        <f>IF(F9="","",C9*L$7)</f>
        <v>30000</v>
      </c>
      <c r="L9" s="37"/>
      <c r="M9" s="40">
        <f>IF(J9="","",(K9/J9)/1000)</f>
        <v>0.6122448979591678</v>
      </c>
      <c r="N9" s="36">
        <v>2006</v>
      </c>
      <c r="O9" s="38">
        <v>1</v>
      </c>
      <c r="P9" s="39">
        <v>1.75413</v>
      </c>
      <c r="Q9" s="39"/>
      <c r="R9" s="41">
        <f>IF(O9="","",(IF(G9="売",H9-P9,P9-H9))*M9*10000000)</f>
        <v>72428.57142856823</v>
      </c>
      <c r="S9" s="41"/>
      <c r="T9" s="42">
        <f>IF(O9="","",IF(R9&lt;0,J9*(-1),IF(G9="買",(P9-H9)*10000,(H9-P9)*10000)))</f>
        <v>118.29999999999785</v>
      </c>
      <c r="U9" s="42"/>
      <c r="V9" s="43">
        <f>IF(T9&gt;0,T9/J9,0)</f>
        <v>2.414285714285608</v>
      </c>
    </row>
    <row r="10" spans="2:22" ht="12.75">
      <c r="B10" s="36">
        <v>2</v>
      </c>
      <c r="C10" s="37">
        <f>IF(R9="","",C9+R9)</f>
        <v>1072428.5714285683</v>
      </c>
      <c r="D10" s="37"/>
      <c r="E10" s="36">
        <f>E9</f>
        <v>2006</v>
      </c>
      <c r="F10" s="38">
        <v>2</v>
      </c>
      <c r="G10" s="36" t="s">
        <v>37</v>
      </c>
      <c r="H10" s="39">
        <v>1.8928</v>
      </c>
      <c r="I10" s="39"/>
      <c r="J10" s="36">
        <f>ABS(H10-1.9027)*10000</f>
        <v>99.0000000000002</v>
      </c>
      <c r="K10" s="37">
        <f>IF(F10="","",C10*L$7)</f>
        <v>32172.85714285705</v>
      </c>
      <c r="L10" s="37"/>
      <c r="M10" s="40">
        <f>IF(J10="","",(K10/J10)/1000)</f>
        <v>0.32497835497835337</v>
      </c>
      <c r="N10" s="36">
        <f>N9</f>
        <v>2006</v>
      </c>
      <c r="O10" s="38">
        <v>2</v>
      </c>
      <c r="P10" s="39">
        <v>1.8395700000000001</v>
      </c>
      <c r="Q10" s="39"/>
      <c r="R10" s="41">
        <f>IF(O10="","",(IF(G10="売",H10-P10,P10-H10))*M10*10000000)</f>
        <v>172985.97835497715</v>
      </c>
      <c r="S10" s="41"/>
      <c r="T10" s="42">
        <f>IF(O10="","",IF(R10&lt;0,J10*(-1),IF(G10="買",(P10-H10)*10000,(H10-P10)*10000)))</f>
        <v>532.2999999999989</v>
      </c>
      <c r="U10" s="42"/>
      <c r="V10" s="43">
        <f>IF(T10&gt;0,T10/J10,0)</f>
        <v>5.376767676767655</v>
      </c>
    </row>
    <row r="11" spans="2:22" ht="12.75">
      <c r="B11" s="36">
        <v>3</v>
      </c>
      <c r="C11" s="37">
        <f>IF(R10="","",C10+R10)</f>
        <v>1245414.5497835455</v>
      </c>
      <c r="D11" s="37"/>
      <c r="E11" s="36">
        <f>E10</f>
        <v>2006</v>
      </c>
      <c r="F11" s="38">
        <v>3</v>
      </c>
      <c r="G11" s="36" t="s">
        <v>37</v>
      </c>
      <c r="H11" s="39">
        <v>1.9044</v>
      </c>
      <c r="I11" s="39"/>
      <c r="J11" s="36">
        <f>ABS(H11-1.9143)*10000</f>
        <v>98.99999999999798</v>
      </c>
      <c r="K11" s="37">
        <f>IF(F11="","",C11*L$7)</f>
        <v>37362.436493506364</v>
      </c>
      <c r="L11" s="37"/>
      <c r="M11" s="40">
        <f>IF(J11="","",(K11/J11)/1000)</f>
        <v>0.3773983484192639</v>
      </c>
      <c r="N11" s="36">
        <f>N10</f>
        <v>2006</v>
      </c>
      <c r="O11" s="38">
        <v>3</v>
      </c>
      <c r="P11" s="39">
        <v>1.88515</v>
      </c>
      <c r="Q11" s="39"/>
      <c r="R11" s="41">
        <f>IF(O11="","",(IF(G11="売",H11-P11,P11-H11))*M11*10000000)</f>
        <v>72649.18207070827</v>
      </c>
      <c r="S11" s="41"/>
      <c r="T11" s="42">
        <f>IF(O11="","",IF(R11&lt;0,J11*(-1),IF(G11="買",(P11-H11)*10000,(H11-P11)*10000)))</f>
        <v>192.4999999999999</v>
      </c>
      <c r="U11" s="42"/>
      <c r="V11" s="43">
        <f>IF(T11&gt;0,T11/J11,0)</f>
        <v>1.9444444444444828</v>
      </c>
    </row>
    <row r="12" spans="2:22" ht="12.75">
      <c r="B12" s="36">
        <v>4</v>
      </c>
      <c r="C12" s="37">
        <f>IF(R11="","",C11+R11)</f>
        <v>1318063.731854254</v>
      </c>
      <c r="D12" s="37"/>
      <c r="E12" s="36">
        <f>E11</f>
        <v>2006</v>
      </c>
      <c r="F12" s="38">
        <v>4</v>
      </c>
      <c r="G12" s="36" t="s">
        <v>37</v>
      </c>
      <c r="H12" s="39">
        <v>1.9028</v>
      </c>
      <c r="I12" s="39"/>
      <c r="J12" s="36">
        <f>ABS(H12-1.9077)*10000</f>
        <v>49.000000000001265</v>
      </c>
      <c r="K12" s="37">
        <f>IF(F12="","",C12*L$7)</f>
        <v>39541.91195562761</v>
      </c>
      <c r="L12" s="37"/>
      <c r="M12" s="40">
        <f>IF(J12="","",(K12/J12)/1000)</f>
        <v>0.8069777950127877</v>
      </c>
      <c r="N12" s="36">
        <f>N11</f>
        <v>2006</v>
      </c>
      <c r="O12" s="38">
        <v>4</v>
      </c>
      <c r="P12" s="39">
        <v>1.8894600000000001</v>
      </c>
      <c r="Q12" s="39"/>
      <c r="R12" s="41">
        <f>IF(O12="","",(IF(G12="売",H12-P12,P12-H12))*M12*10000000)</f>
        <v>107650.83785470513</v>
      </c>
      <c r="S12" s="41"/>
      <c r="T12" s="42">
        <f>IF(O12="","",IF(R12&lt;0,J12*(-1),IF(G12="買",(P12-H12)*10000,(H12-P12)*10000)))</f>
        <v>133.39999999999907</v>
      </c>
      <c r="U12" s="42"/>
      <c r="V12" s="43">
        <f>IF(T12&gt;0,T12/J12,0)</f>
        <v>2.7224489795917473</v>
      </c>
    </row>
    <row r="13" spans="2:22" ht="12.75">
      <c r="B13" s="36">
        <v>5</v>
      </c>
      <c r="C13" s="37">
        <f>IF(R12="","",C12+R12)</f>
        <v>1425714.569708959</v>
      </c>
      <c r="D13" s="37"/>
      <c r="E13" s="36">
        <f>E12</f>
        <v>2006</v>
      </c>
      <c r="F13" s="38">
        <v>5</v>
      </c>
      <c r="G13" s="36" t="s">
        <v>36</v>
      </c>
      <c r="H13" s="39">
        <v>1.9791</v>
      </c>
      <c r="I13" s="39"/>
      <c r="J13" s="36">
        <f>ABS(H13-1.9746)*10000</f>
        <v>44.99999999999949</v>
      </c>
      <c r="K13" s="37">
        <f>IF(F13="","",C13*L$7)</f>
        <v>42771.43709126877</v>
      </c>
      <c r="L13" s="37"/>
      <c r="M13" s="40">
        <f>IF(J13="","",(K13/J13)/1000)</f>
        <v>0.9504763798059833</v>
      </c>
      <c r="N13" s="36">
        <f>N12</f>
        <v>2006</v>
      </c>
      <c r="O13" s="38">
        <v>5</v>
      </c>
      <c r="P13" s="36">
        <v>1.98412</v>
      </c>
      <c r="Q13" s="36"/>
      <c r="R13" s="41">
        <f>IF(O13="","",(IF(G13="売",H13-P13,P13-H13))*M13*10000000)</f>
        <v>47713.914266260595</v>
      </c>
      <c r="S13" s="41"/>
      <c r="T13" s="42">
        <f>IF(O13="","",IF(R13&lt;0,J13*(-1),IF(G13="買",(P13-H13)*10000,(H13-P13)*10000)))</f>
        <v>50.200000000000244</v>
      </c>
      <c r="U13" s="42"/>
      <c r="V13" s="43">
        <f>IF(T13&gt;0,T13/J13,0)</f>
        <v>1.1155555555555736</v>
      </c>
    </row>
    <row r="14" spans="2:22" ht="12.75">
      <c r="B14" s="36">
        <v>6</v>
      </c>
      <c r="C14" s="37">
        <f>IF(R13="","",C13+R13)</f>
        <v>1473428.4839752195</v>
      </c>
      <c r="D14" s="37"/>
      <c r="E14" s="36">
        <f>E13</f>
        <v>2006</v>
      </c>
      <c r="F14" s="38">
        <v>6</v>
      </c>
      <c r="G14" s="36" t="s">
        <v>37</v>
      </c>
      <c r="H14" s="39">
        <v>2.017</v>
      </c>
      <c r="I14" s="39"/>
      <c r="J14" s="36">
        <f>ABS(H14-P14)*10000</f>
        <v>36.000000000000476</v>
      </c>
      <c r="K14" s="37">
        <f>IF(F14="","",C14*L$7)</f>
        <v>44202.85451925659</v>
      </c>
      <c r="L14" s="37"/>
      <c r="M14" s="40">
        <f>IF(J14="","",(K14/J14)/1000)</f>
        <v>1.2278570699793334</v>
      </c>
      <c r="N14" s="36">
        <f>N13</f>
        <v>2006</v>
      </c>
      <c r="O14" s="38">
        <v>6</v>
      </c>
      <c r="P14" s="36">
        <v>2.0206</v>
      </c>
      <c r="Q14" s="36"/>
      <c r="R14" s="41">
        <f>IF(O14="","",(IF(G14="売",H14-P14,P14-H14))*M14*10000000)</f>
        <v>-44202.85451925659</v>
      </c>
      <c r="S14" s="41"/>
      <c r="T14" s="42">
        <f>IF(O14="","",IF(R14&lt;0,J14*(-1),IF(G14="買",(P14-H14)*10000,(H14-P14)*10000)))</f>
        <v>-36.000000000000476</v>
      </c>
      <c r="U14" s="42"/>
      <c r="V14" s="43">
        <f>IF(T14&gt;0,T14/J14,0)</f>
        <v>0</v>
      </c>
    </row>
    <row r="15" spans="2:22" ht="12.75">
      <c r="B15" s="36">
        <v>7</v>
      </c>
      <c r="C15" s="37">
        <f>IF(R14="","",C14+R14)</f>
        <v>1429225.629455963</v>
      </c>
      <c r="D15" s="37"/>
      <c r="E15" s="36">
        <f>E14</f>
        <v>2006</v>
      </c>
      <c r="F15" s="38">
        <v>7</v>
      </c>
      <c r="G15" s="36" t="s">
        <v>36</v>
      </c>
      <c r="H15" s="39">
        <v>1.9736</v>
      </c>
      <c r="I15" s="39"/>
      <c r="J15" s="36">
        <f>ABS(H15-1.9651)*10000</f>
        <v>84.99999999999952</v>
      </c>
      <c r="K15" s="37">
        <f>IF(F15="","",C15*L$7)</f>
        <v>42876.76888367889</v>
      </c>
      <c r="L15" s="37"/>
      <c r="M15" s="40">
        <f>IF(J15="","",(K15/J15)/1000)</f>
        <v>0.5044325751021074</v>
      </c>
      <c r="N15" s="36">
        <f>N14</f>
        <v>2006</v>
      </c>
      <c r="O15" s="38">
        <v>7</v>
      </c>
      <c r="P15" s="39">
        <v>1.98223</v>
      </c>
      <c r="Q15" s="39"/>
      <c r="R15" s="41">
        <f>IF(O15="","",(IF(G15="売",H15-P15,P15-H15))*M15*10000000)</f>
        <v>43532.53123131144</v>
      </c>
      <c r="S15" s="41"/>
      <c r="T15" s="42">
        <f>IF(O15="","",IF(R15&lt;0,J15*(-1),IF(G15="買",(P15-H15)*10000,(H15-P15)*10000)))</f>
        <v>86.29999999999916</v>
      </c>
      <c r="U15" s="42"/>
      <c r="V15" s="43">
        <f>IF(T15&gt;0,T15/J15,0)</f>
        <v>1.0152941176470547</v>
      </c>
    </row>
    <row r="16" spans="2:22" ht="12.75">
      <c r="B16" s="36">
        <v>8</v>
      </c>
      <c r="C16" s="37">
        <f>IF(R15="","",C15+R15)</f>
        <v>1472758.1606872743</v>
      </c>
      <c r="D16" s="37"/>
      <c r="E16" s="36">
        <f>E15</f>
        <v>2006</v>
      </c>
      <c r="F16" s="38">
        <v>8</v>
      </c>
      <c r="G16" s="36" t="s">
        <v>37</v>
      </c>
      <c r="H16" s="36">
        <v>1.9837</v>
      </c>
      <c r="I16" s="36"/>
      <c r="J16" s="36">
        <f>ABS(H16-1.9958)*10000</f>
        <v>121</v>
      </c>
      <c r="K16" s="37">
        <f>IF(F16="","",C16*L$7)</f>
        <v>44182.74482061823</v>
      </c>
      <c r="L16" s="37"/>
      <c r="M16" s="40">
        <f>IF(J16="","",(K16/J16)/1000)</f>
        <v>0.365146651410068</v>
      </c>
      <c r="N16" s="36">
        <f>N15</f>
        <v>2006</v>
      </c>
      <c r="O16" s="38">
        <v>8</v>
      </c>
      <c r="P16" s="36">
        <v>1.97194</v>
      </c>
      <c r="Q16" s="36"/>
      <c r="R16" s="41">
        <f>IF(O16="","",(IF(G16="売",H16-P16,P16-H16))*M16*10000000)</f>
        <v>42941.24620582397</v>
      </c>
      <c r="S16" s="41"/>
      <c r="T16" s="42">
        <f>IF(O16="","",IF(R16&lt;0,J16*(-1),IF(G16="買",(P16-H16)*10000,(H16-P16)*10000)))</f>
        <v>117.59999999999992</v>
      </c>
      <c r="U16" s="42"/>
      <c r="V16" s="43">
        <f>IF(T16&gt;0,T16/J16,0)</f>
        <v>0.9719008264462804</v>
      </c>
    </row>
    <row r="17" spans="2:22" ht="12.75">
      <c r="B17" s="36">
        <v>9</v>
      </c>
      <c r="C17" s="37">
        <f>IF(R16="","",C16+R16)</f>
        <v>1515699.4068930983</v>
      </c>
      <c r="D17" s="37"/>
      <c r="E17" s="36">
        <f>E16</f>
        <v>2006</v>
      </c>
      <c r="F17" s="38">
        <v>9</v>
      </c>
      <c r="G17" s="36" t="s">
        <v>37</v>
      </c>
      <c r="H17" s="36">
        <v>2.0259</v>
      </c>
      <c r="I17" s="36"/>
      <c r="J17" s="36">
        <f>ABS(H17-2.0397)*10000</f>
        <v>137.99999999999812</v>
      </c>
      <c r="K17" s="37">
        <f>IF(F17="","",C17*L$7)</f>
        <v>45470.98220679295</v>
      </c>
      <c r="L17" s="37"/>
      <c r="M17" s="40">
        <f>IF(J17="","",(K17/J17)/1000)</f>
        <v>0.32949987106372153</v>
      </c>
      <c r="N17" s="36">
        <f>N16</f>
        <v>2006</v>
      </c>
      <c r="O17" s="38">
        <v>9</v>
      </c>
      <c r="P17" s="36">
        <v>2</v>
      </c>
      <c r="Q17" s="36"/>
      <c r="R17" s="41">
        <f>IF(O17="","",(IF(G17="売",H17-P17,P17-H17))*M17*10000000)</f>
        <v>85340.46660550399</v>
      </c>
      <c r="S17" s="41"/>
      <c r="T17" s="42">
        <f>IF(O17="","",IF(R17&lt;0,J17*(-1),IF(G17="買",(P17-H17)*10000,(H17-P17)*10000)))</f>
        <v>259.00000000000034</v>
      </c>
      <c r="U17" s="42"/>
      <c r="V17" s="43">
        <f>IF(T17&gt;0,T17/J17,0)</f>
        <v>1.8768115942029264</v>
      </c>
    </row>
    <row r="18" spans="2:22" ht="12.75">
      <c r="B18" s="36">
        <v>10</v>
      </c>
      <c r="C18" s="37">
        <f>IF(R17="","",C17+R17)</f>
        <v>1601039.8734986023</v>
      </c>
      <c r="D18" s="37"/>
      <c r="E18" s="36">
        <f>E17</f>
        <v>2006</v>
      </c>
      <c r="F18" s="38">
        <v>10</v>
      </c>
      <c r="G18" s="36" t="s">
        <v>36</v>
      </c>
      <c r="H18" s="39">
        <v>1.7628</v>
      </c>
      <c r="I18" s="39"/>
      <c r="J18" s="36">
        <f>ABS(H18-P18)*10000</f>
        <v>158.99999999999804</v>
      </c>
      <c r="K18" s="37">
        <f>IF(F18="","",C18*L$7)</f>
        <v>48031.19620495807</v>
      </c>
      <c r="L18" s="37"/>
      <c r="M18" s="40">
        <f>IF(J18="","",(K18/J18)/1000)</f>
        <v>0.30208299499974</v>
      </c>
      <c r="N18" s="36">
        <f>N17</f>
        <v>2006</v>
      </c>
      <c r="O18" s="38">
        <v>10</v>
      </c>
      <c r="P18" s="36">
        <v>1.7469000000000001</v>
      </c>
      <c r="Q18" s="36"/>
      <c r="R18" s="41">
        <f>IF(O18="","",(IF(G18="売",H18-P18,P18-H18))*M18*10000000)</f>
        <v>-48031.19620495806</v>
      </c>
      <c r="S18" s="41"/>
      <c r="T18" s="42">
        <f>IF(O18="","",IF(R18&lt;0,J18*(-1),IF(G18="買",(P18-H18)*10000,(H18-P18)*10000)))</f>
        <v>-158.99999999999804</v>
      </c>
      <c r="U18" s="42"/>
      <c r="V18" s="43">
        <f>IF(T18&gt;0,T18/J18,0)</f>
        <v>0</v>
      </c>
    </row>
    <row r="19" spans="2:22" ht="12.75">
      <c r="B19" s="36">
        <v>11</v>
      </c>
      <c r="C19" s="37">
        <f>IF(R18="","",C18+R18)</f>
        <v>1553008.6772936443</v>
      </c>
      <c r="D19" s="37"/>
      <c r="E19" s="36">
        <f>E18</f>
        <v>2006</v>
      </c>
      <c r="F19" s="38">
        <v>11</v>
      </c>
      <c r="G19" s="36" t="s">
        <v>36</v>
      </c>
      <c r="H19" s="36">
        <v>1.7589000000000001</v>
      </c>
      <c r="I19" s="36"/>
      <c r="J19" s="36">
        <f>ABS(H19-1.7446)*10000</f>
        <v>142.9999999999998</v>
      </c>
      <c r="K19" s="37">
        <f>IF(F19="","",C19*L$7)</f>
        <v>46590.26031880933</v>
      </c>
      <c r="L19" s="37"/>
      <c r="M19" s="40">
        <f>IF(J19="","",(K19/J19)/1000)</f>
        <v>0.3258060162154503</v>
      </c>
      <c r="N19" s="36">
        <f>N18</f>
        <v>2006</v>
      </c>
      <c r="O19" s="38">
        <v>11</v>
      </c>
      <c r="P19" s="36">
        <v>1.79559</v>
      </c>
      <c r="Q19" s="36"/>
      <c r="R19" s="41">
        <f>IF(O19="","",(IF(G19="売",H19-P19,P19-H19))*M19*10000000)</f>
        <v>119538.22734944835</v>
      </c>
      <c r="S19" s="41"/>
      <c r="T19" s="42">
        <f>IF(O19="","",IF(R19&lt;0,J19*(-1),IF(G19="買",(P19-H19)*10000,(H19-P19)*10000)))</f>
        <v>366.8999999999989</v>
      </c>
      <c r="U19" s="42"/>
      <c r="V19" s="43">
        <f>IF(T19&gt;0,T19/J19,0)</f>
        <v>2.5657342657342617</v>
      </c>
    </row>
    <row r="20" spans="2:22" ht="12.75">
      <c r="B20" s="36">
        <v>12</v>
      </c>
      <c r="C20" s="37">
        <f>IF(R19="","",C19+R19)</f>
        <v>1672546.9046430925</v>
      </c>
      <c r="D20" s="37"/>
      <c r="E20" s="36">
        <f>E19</f>
        <v>2006</v>
      </c>
      <c r="F20" s="38">
        <v>12</v>
      </c>
      <c r="G20" s="36" t="s">
        <v>37</v>
      </c>
      <c r="H20" s="36">
        <v>1.8564</v>
      </c>
      <c r="I20" s="36"/>
      <c r="J20" s="36">
        <f>ABS(H20-1.8667)*10000</f>
        <v>102.99999999999976</v>
      </c>
      <c r="K20" s="37">
        <f>IF(F20="","",C20*L$7)</f>
        <v>50176.40713929277</v>
      </c>
      <c r="L20" s="37"/>
      <c r="M20" s="40">
        <f>IF(J20="","",(K20/J20)/1000)</f>
        <v>0.48714958387663</v>
      </c>
      <c r="N20" s="36">
        <f>N19</f>
        <v>2006</v>
      </c>
      <c r="O20" s="38">
        <v>12</v>
      </c>
      <c r="P20" s="36">
        <v>1.81983</v>
      </c>
      <c r="Q20" s="36"/>
      <c r="R20" s="41">
        <f>IF(O20="","",(IF(G20="売",H20-P20,P20-H20))*M20*10000000)</f>
        <v>178150.60282368356</v>
      </c>
      <c r="S20" s="41"/>
      <c r="T20" s="42">
        <f>IF(O20="","",IF(R20&lt;0,J20*(-1),IF(G20="買",(P20-H20)*10000,(H20-P20)*10000)))</f>
        <v>365.69999999999993</v>
      </c>
      <c r="U20" s="42"/>
      <c r="V20" s="43">
        <f>IF(T20&gt;0,T20/J20,0)</f>
        <v>3.5504854368932115</v>
      </c>
    </row>
    <row r="21" spans="2:22" ht="12.75">
      <c r="B21" s="36">
        <v>13</v>
      </c>
      <c r="C21" s="37">
        <f>IF(R20="","",C20+R20)</f>
        <v>1850697.507466776</v>
      </c>
      <c r="D21" s="37"/>
      <c r="E21" s="36">
        <f>E20</f>
        <v>2006</v>
      </c>
      <c r="F21" s="38">
        <v>13</v>
      </c>
      <c r="G21" s="36" t="s">
        <v>37</v>
      </c>
      <c r="H21" s="36">
        <v>1.6959</v>
      </c>
      <c r="I21" s="36"/>
      <c r="J21" s="36">
        <f>ABS(H21-1.7041)*10000</f>
        <v>81.99999999999986</v>
      </c>
      <c r="K21" s="37">
        <f>IF(F21="","",C21*L$7)</f>
        <v>55520.92522400328</v>
      </c>
      <c r="L21" s="37"/>
      <c r="M21" s="40">
        <f>IF(J21="","",(K21/J21)/1000)</f>
        <v>0.6770844539512607</v>
      </c>
      <c r="N21" s="36">
        <f>N20</f>
        <v>2006</v>
      </c>
      <c r="O21" s="38">
        <v>13</v>
      </c>
      <c r="P21" s="36">
        <v>1.67724</v>
      </c>
      <c r="Q21" s="36"/>
      <c r="R21" s="41">
        <f>IF(O21="","",(IF(G21="売",H21-P21,P21-H21))*M21*10000000)</f>
        <v>126343.95910730456</v>
      </c>
      <c r="S21" s="41"/>
      <c r="T21" s="42">
        <f>IF(O21="","",IF(R21&lt;0,J21*(-1),IF(G21="買",(P21-H21)*10000,(H21-P21)*10000)))</f>
        <v>186.599999999999</v>
      </c>
      <c r="U21" s="42"/>
      <c r="V21" s="43">
        <f>IF(T21&gt;0,T21/J21,0)</f>
        <v>2.275609756097553</v>
      </c>
    </row>
    <row r="22" spans="2:22" ht="12.75">
      <c r="B22" s="36">
        <v>14</v>
      </c>
      <c r="C22" s="37">
        <f>IF(R21="","",C21+R21)</f>
        <v>1977041.4665740805</v>
      </c>
      <c r="D22" s="37"/>
      <c r="E22" s="36">
        <f>E21</f>
        <v>2006</v>
      </c>
      <c r="F22" s="38">
        <v>14</v>
      </c>
      <c r="G22" s="36" t="s">
        <v>37</v>
      </c>
      <c r="H22" s="36">
        <v>1.5232</v>
      </c>
      <c r="I22" s="36"/>
      <c r="J22" s="36">
        <f>ABS(H22-P22)*10000</f>
        <v>82.99999999999753</v>
      </c>
      <c r="K22" s="37">
        <f>IF(F22="","",C22*L$7)</f>
        <v>59311.24399722242</v>
      </c>
      <c r="L22" s="37"/>
      <c r="M22" s="40">
        <f>IF(J22="","",(K22/J22)/1000)</f>
        <v>0.7145933011713758</v>
      </c>
      <c r="N22" s="36">
        <f>N21</f>
        <v>2006</v>
      </c>
      <c r="O22" s="38">
        <v>14</v>
      </c>
      <c r="P22" s="36">
        <v>1.5314999999999999</v>
      </c>
      <c r="Q22" s="36"/>
      <c r="R22" s="41">
        <f>IF(O22="","",(IF(G22="売",H22-P22,P22-H22))*M22*10000000)</f>
        <v>-59311.24399722242</v>
      </c>
      <c r="S22" s="41"/>
      <c r="T22" s="42">
        <f>IF(O22="","",IF(R22&lt;0,J22*(-1),IF(G22="買",(P22-H22)*10000,(H22-P22)*10000)))</f>
        <v>-82.99999999999753</v>
      </c>
      <c r="U22" s="42"/>
      <c r="V22" s="43">
        <f>IF(T22&gt;0,T22/J22,0)</f>
        <v>0</v>
      </c>
    </row>
    <row r="23" spans="2:22" ht="12.75">
      <c r="B23" s="36">
        <v>15</v>
      </c>
      <c r="C23" s="37">
        <f>IF(R22="","",C22+R22)</f>
        <v>1917730.222576858</v>
      </c>
      <c r="D23" s="37"/>
      <c r="E23" s="36">
        <f>E22</f>
        <v>2006</v>
      </c>
      <c r="F23" s="38">
        <v>15</v>
      </c>
      <c r="G23" s="36" t="s">
        <v>36</v>
      </c>
      <c r="H23" s="36">
        <v>1.4425</v>
      </c>
      <c r="I23" s="36"/>
      <c r="J23" s="36">
        <f>ABS(H23-1.423)*10000</f>
        <v>194.99999999999852</v>
      </c>
      <c r="K23" s="37">
        <f>IF(F23="","",C23*L$7)</f>
        <v>57531.906677305735</v>
      </c>
      <c r="L23" s="37"/>
      <c r="M23" s="40">
        <f>IF(J23="","",(K23/J23)/1000)</f>
        <v>0.29503541885798035</v>
      </c>
      <c r="N23" s="36">
        <f>N22</f>
        <v>2006</v>
      </c>
      <c r="O23" s="38">
        <v>15</v>
      </c>
      <c r="P23" s="36">
        <v>1.47125</v>
      </c>
      <c r="Q23" s="36"/>
      <c r="R23" s="41">
        <f>IF(O23="","",(IF(G23="売",H23-P23,P23-H23))*M23*10000000)</f>
        <v>84822.68292166952</v>
      </c>
      <c r="S23" s="41"/>
      <c r="T23" s="42">
        <f>IF(O23="","",IF(R23&lt;0,J23*(-1),IF(G23="買",(P23-H23)*10000,(H23-P23)*10000)))</f>
        <v>287.5000000000005</v>
      </c>
      <c r="U23" s="42"/>
      <c r="V23" s="43">
        <f>IF(T23&gt;0,T23/J23,0)</f>
        <v>1.4743589743589882</v>
      </c>
    </row>
    <row r="24" spans="2:22" ht="12.75">
      <c r="B24" s="36">
        <v>16</v>
      </c>
      <c r="C24" s="37">
        <f>IF(R23="","",C23+R23)</f>
        <v>2002552.9054985275</v>
      </c>
      <c r="D24" s="37"/>
      <c r="E24" s="36">
        <f>E23</f>
        <v>2006</v>
      </c>
      <c r="F24" s="38">
        <v>16</v>
      </c>
      <c r="G24" s="36" t="s">
        <v>37</v>
      </c>
      <c r="H24" s="36">
        <v>1.5852</v>
      </c>
      <c r="I24" s="36"/>
      <c r="J24" s="36">
        <f>ABS(H24-1.5996)*10000</f>
        <v>144.0000000000019</v>
      </c>
      <c r="K24" s="37">
        <f>IF(F24="","",C24*L$7)</f>
        <v>60076.587164955825</v>
      </c>
      <c r="L24" s="37"/>
      <c r="M24" s="40">
        <f>IF(J24="","",(K24/J24)/1000)</f>
        <v>0.4171985219788544</v>
      </c>
      <c r="N24" s="36">
        <f>N23</f>
        <v>2006</v>
      </c>
      <c r="O24" s="38">
        <v>16</v>
      </c>
      <c r="P24" s="36">
        <v>1.56616</v>
      </c>
      <c r="Q24" s="36"/>
      <c r="R24" s="41">
        <f>IF(O24="","",(IF(G24="売",H24-P24,P24-H24))*M24*10000000)</f>
        <v>79434.59858477366</v>
      </c>
      <c r="S24" s="41"/>
      <c r="T24" s="42">
        <f>IF(O24="","",IF(R24&lt;0,J24*(-1),IF(G24="買",(P24-H24)*10000,(H24-P24)*10000)))</f>
        <v>190.39999999999947</v>
      </c>
      <c r="U24" s="42"/>
      <c r="V24" s="43">
        <f>IF(T24&gt;0,T24/J24,0)</f>
        <v>1.322222222222201</v>
      </c>
    </row>
    <row r="25" spans="2:22" ht="12.75">
      <c r="B25" s="36">
        <v>17</v>
      </c>
      <c r="C25" s="37">
        <f>IF(R24="","",C24+R24)</f>
        <v>2081987.5040833012</v>
      </c>
      <c r="D25" s="37"/>
      <c r="E25" s="36">
        <f>E24</f>
        <v>2006</v>
      </c>
      <c r="F25" s="38">
        <v>17</v>
      </c>
      <c r="G25" s="36" t="s">
        <v>37</v>
      </c>
      <c r="H25" s="36">
        <v>1.6185</v>
      </c>
      <c r="I25" s="36"/>
      <c r="J25" s="36">
        <f>ABS(H25-1.6275)*10000</f>
        <v>89.99999999999898</v>
      </c>
      <c r="K25" s="37">
        <f>IF(F25="","",C25*L$7)</f>
        <v>62459.625122499034</v>
      </c>
      <c r="L25" s="37"/>
      <c r="M25" s="40">
        <f>IF(J25="","",(K25/J25)/1000)</f>
        <v>0.6939958346944416</v>
      </c>
      <c r="N25" s="36">
        <f>N24</f>
        <v>2006</v>
      </c>
      <c r="O25" s="38">
        <v>17</v>
      </c>
      <c r="P25" s="36">
        <v>1.60746</v>
      </c>
      <c r="Q25" s="36"/>
      <c r="R25" s="41">
        <f>IF(O25="","",(IF(G25="売",H25-P25,P25-H25))*M25*10000000)</f>
        <v>76617.14015026593</v>
      </c>
      <c r="S25" s="41"/>
      <c r="T25" s="42">
        <f>IF(O25="","",IF(R25&lt;0,J25*(-1),IF(G25="買",(P25-H25)*10000,(H25-P25)*10000)))</f>
        <v>110.39999999999938</v>
      </c>
      <c r="U25" s="42"/>
      <c r="V25" s="43">
        <f>IF(T25&gt;0,T25/J25,0)</f>
        <v>1.2266666666666737</v>
      </c>
    </row>
    <row r="26" spans="2:22" ht="12.75">
      <c r="B26" s="36">
        <v>18</v>
      </c>
      <c r="C26" s="37">
        <f>IF(R25="","",C25+R25)</f>
        <v>2158604.644233567</v>
      </c>
      <c r="D26" s="37"/>
      <c r="E26" s="36">
        <f>E25</f>
        <v>2006</v>
      </c>
      <c r="F26" s="38">
        <v>18</v>
      </c>
      <c r="G26" s="36" t="s">
        <v>36</v>
      </c>
      <c r="H26" s="36">
        <v>1.60097</v>
      </c>
      <c r="I26" s="36"/>
      <c r="J26" s="36">
        <f>ABS(H26-1.59116)*10000</f>
        <v>98.10000000000096</v>
      </c>
      <c r="K26" s="37">
        <f>IF(F26="","",C26*L$7)</f>
        <v>64758.13932700701</v>
      </c>
      <c r="L26" s="37"/>
      <c r="M26" s="40">
        <f>IF(J26="","",(K26/J26)/1000)</f>
        <v>0.6601237444139284</v>
      </c>
      <c r="N26" s="36">
        <f>N25</f>
        <v>2006</v>
      </c>
      <c r="O26" s="38">
        <v>18</v>
      </c>
      <c r="P26" s="36">
        <v>1.61131</v>
      </c>
      <c r="Q26" s="36"/>
      <c r="R26" s="41">
        <f>IF(O26="","",(IF(G26="売",H26-P26,P26-H26))*M26*10000000)</f>
        <v>68256.79517240029</v>
      </c>
      <c r="S26" s="41"/>
      <c r="T26" s="42">
        <f>IF(O26="","",IF(R26&lt;0,J26*(-1),IF(G26="買",(P26-H26)*10000,(H26-P26)*10000)))</f>
        <v>103.40000000000016</v>
      </c>
      <c r="U26" s="42"/>
      <c r="V26" s="43">
        <f>IF(T26&gt;0,T26/J26,0)</f>
        <v>1.0540265035677794</v>
      </c>
    </row>
    <row r="27" spans="2:22" ht="12.75">
      <c r="B27" s="36">
        <v>19</v>
      </c>
      <c r="C27" s="37">
        <f>IF(R26="","",C26+R26)</f>
        <v>2226861.4394059675</v>
      </c>
      <c r="D27" s="37"/>
      <c r="E27" s="36">
        <f>E26</f>
        <v>2006</v>
      </c>
      <c r="F27" s="38">
        <v>19</v>
      </c>
      <c r="G27" s="36" t="s">
        <v>37</v>
      </c>
      <c r="H27" s="36">
        <v>1.64065</v>
      </c>
      <c r="I27" s="36"/>
      <c r="J27" s="36">
        <f>ABS(H27-1.64745)*10000</f>
        <v>68.00000000000139</v>
      </c>
      <c r="K27" s="37">
        <f>IF(F27="","",C27*L$7)</f>
        <v>66805.84318217903</v>
      </c>
      <c r="L27" s="37"/>
      <c r="M27" s="40">
        <f>IF(J27="","",(K27/J27)/1000)</f>
        <v>0.9824388703261421</v>
      </c>
      <c r="N27" s="36">
        <f>N26</f>
        <v>2006</v>
      </c>
      <c r="O27" s="38">
        <v>19</v>
      </c>
      <c r="P27" s="36">
        <v>1.62092</v>
      </c>
      <c r="Q27" s="36"/>
      <c r="R27" s="41">
        <f>IF(O27="","",(IF(G27="売",H27-P27,P27-H27))*M27*10000000)</f>
        <v>193835.1891153481</v>
      </c>
      <c r="S27" s="41"/>
      <c r="T27" s="42">
        <f>IF(O27="","",IF(R27&lt;0,J27*(-1),IF(G27="買",(P27-H27)*10000,(H27-P27)*10000)))</f>
        <v>197.30000000000024</v>
      </c>
      <c r="U27" s="42"/>
      <c r="V27" s="43">
        <f>IF(T27&gt;0,T27/J27,0)</f>
        <v>2.901470588235238</v>
      </c>
    </row>
    <row r="28" spans="2:22" ht="12.75">
      <c r="B28" s="36">
        <v>20</v>
      </c>
      <c r="C28" s="37">
        <f>IF(R27="","",C27+R27)</f>
        <v>2420696.6285213158</v>
      </c>
      <c r="D28" s="37"/>
      <c r="E28" s="36">
        <f>E27</f>
        <v>2006</v>
      </c>
      <c r="F28" s="38">
        <v>20</v>
      </c>
      <c r="G28" s="36" t="s">
        <v>36</v>
      </c>
      <c r="H28" s="36">
        <v>1.50698</v>
      </c>
      <c r="I28" s="36"/>
      <c r="J28" s="36">
        <f>ABS(H28-1.50068)*10000</f>
        <v>62.99999999999972</v>
      </c>
      <c r="K28" s="37">
        <f>IF(F28="","",C28*L$7)</f>
        <v>72620.89885563948</v>
      </c>
      <c r="L28" s="37"/>
      <c r="M28" s="40">
        <f>IF(J28="","",(K28/J28)/1000)</f>
        <v>1.1527126802482508</v>
      </c>
      <c r="N28" s="36">
        <f>N27</f>
        <v>2006</v>
      </c>
      <c r="O28" s="38">
        <v>20</v>
      </c>
      <c r="P28" s="36">
        <v>1.52272</v>
      </c>
      <c r="Q28" s="36"/>
      <c r="R28" s="41">
        <f>IF(O28="","",(IF(G28="売",H28-P28,P28-H28))*M28*10000000)</f>
        <v>181436.97587107567</v>
      </c>
      <c r="S28" s="41"/>
      <c r="T28" s="42">
        <f>IF(O28="","",IF(R28&lt;0,J28*(-1),IF(G28="買",(P28-H28)*10000,(H28-P28)*10000)))</f>
        <v>157.4000000000009</v>
      </c>
      <c r="U28" s="42"/>
      <c r="V28" s="43">
        <f>IF(T28&gt;0,T28/J28,0)</f>
        <v>2.4984126984127233</v>
      </c>
    </row>
    <row r="29" spans="2:22" ht="12.75">
      <c r="B29" s="36">
        <v>21</v>
      </c>
      <c r="C29" s="37">
        <f>IF(R28="","",C28+R28)</f>
        <v>2602133.6043923916</v>
      </c>
      <c r="D29" s="37"/>
      <c r="E29" s="36">
        <f>E28</f>
        <v>2006</v>
      </c>
      <c r="F29" s="38">
        <v>21</v>
      </c>
      <c r="G29" s="36" t="s">
        <v>37</v>
      </c>
      <c r="H29" s="36">
        <v>1.5689000000000002</v>
      </c>
      <c r="I29" s="36"/>
      <c r="J29" s="36">
        <f>ABS(H29-1.57505)*10000</f>
        <v>61.49999999999878</v>
      </c>
      <c r="K29" s="37">
        <f>IF(F29="","",C29*L$7)</f>
        <v>78064.00813177174</v>
      </c>
      <c r="L29" s="37"/>
      <c r="M29" s="40">
        <f>IF(J29="","",(K29/J29)/1000)</f>
        <v>1.2693334655572894</v>
      </c>
      <c r="N29" s="36">
        <f>N28</f>
        <v>2006</v>
      </c>
      <c r="O29" s="38">
        <v>21</v>
      </c>
      <c r="P29" s="36">
        <v>1.54656</v>
      </c>
      <c r="Q29" s="36"/>
      <c r="R29" s="41">
        <f>IF(O29="","",(IF(G29="売",H29-P29,P29-H29))*M29*10000000)</f>
        <v>283569.09620550164</v>
      </c>
      <c r="S29" s="41"/>
      <c r="T29" s="42">
        <f>IF(O29="","",IF(R29&lt;0,J29*(-1),IF(G29="買",(P29-H29)*10000,(H29-P29)*10000)))</f>
        <v>223.40000000000248</v>
      </c>
      <c r="U29" s="42"/>
      <c r="V29" s="43">
        <f>IF(T29&gt;0,T29/J29,0)</f>
        <v>3.6325203252033647</v>
      </c>
    </row>
    <row r="30" spans="2:22" ht="12.75">
      <c r="B30" s="36">
        <v>22</v>
      </c>
      <c r="C30" s="37">
        <f>IF(R29="","",C29+R29)</f>
        <v>2885702.7005978934</v>
      </c>
      <c r="D30" s="37"/>
      <c r="E30" s="36">
        <f>E29</f>
        <v>2006</v>
      </c>
      <c r="F30" s="38">
        <v>22</v>
      </c>
      <c r="G30" s="36" t="s">
        <v>37</v>
      </c>
      <c r="H30" s="36">
        <v>1.62161</v>
      </c>
      <c r="I30" s="36"/>
      <c r="J30" s="36">
        <f>ABS(H30-1.62557)*10000</f>
        <v>39.600000000001856</v>
      </c>
      <c r="K30" s="37">
        <f>IF(F30="","",C30*L$7)</f>
        <v>86571.0810179368</v>
      </c>
      <c r="L30" s="37"/>
      <c r="M30" s="40">
        <f>IF(J30="","",(K30/J30)/1000)</f>
        <v>2.186138409543756</v>
      </c>
      <c r="N30" s="36">
        <f>N29</f>
        <v>2006</v>
      </c>
      <c r="O30" s="38">
        <v>22</v>
      </c>
      <c r="P30" s="36">
        <v>1.6116700000000002</v>
      </c>
      <c r="Q30" s="36"/>
      <c r="R30" s="41">
        <f>IF(O30="","",(IF(G30="売",H30-P30,P30-H30))*M30*10000000)</f>
        <v>217302.1579086458</v>
      </c>
      <c r="S30" s="41"/>
      <c r="T30" s="42">
        <f>IF(O30="","",IF(R30&lt;0,J30*(-1),IF(G30="買",(P30-H30)*10000,(H30-P30)*10000)))</f>
        <v>99.39999999999839</v>
      </c>
      <c r="U30" s="42"/>
      <c r="V30" s="43">
        <f>IF(T30&gt;0,T30/J30,0)</f>
        <v>2.510101010100852</v>
      </c>
    </row>
    <row r="31" spans="2:22" ht="12.75">
      <c r="B31" s="36">
        <v>23</v>
      </c>
      <c r="C31" s="37">
        <f>IF(R30="","",C30+R30)</f>
        <v>3103004.8585065394</v>
      </c>
      <c r="D31" s="37"/>
      <c r="E31" s="36">
        <f>E30</f>
        <v>2006</v>
      </c>
      <c r="F31" s="38">
        <v>23</v>
      </c>
      <c r="G31" s="36" t="s">
        <v>37</v>
      </c>
      <c r="H31" s="36">
        <v>1.61294</v>
      </c>
      <c r="I31" s="36"/>
      <c r="J31" s="36">
        <f>ABS(H31-P31)*10000</f>
        <v>47.600000000000975</v>
      </c>
      <c r="K31" s="37">
        <f>IF(F31="","",C31*L$7)</f>
        <v>93090.14575519618</v>
      </c>
      <c r="L31" s="37"/>
      <c r="M31" s="40">
        <f>IF(J31="","",(K31/J31)/1000)</f>
        <v>1.9556753309914763</v>
      </c>
      <c r="N31" s="36">
        <f>N30</f>
        <v>2006</v>
      </c>
      <c r="O31" s="38">
        <v>23</v>
      </c>
      <c r="P31" s="36">
        <v>1.6177000000000001</v>
      </c>
      <c r="Q31" s="36"/>
      <c r="R31" s="41">
        <f>IF(O31="","",(IF(G31="売",H31-P31,P31-H31))*M31*10000000)</f>
        <v>-93090.14575519616</v>
      </c>
      <c r="S31" s="41"/>
      <c r="T31" s="42">
        <f>IF(O31="","",IF(R31&lt;0,J31*(-1),IF(G31="買",(P31-H31)*10000,(H31-P31)*10000)))</f>
        <v>-47.600000000000975</v>
      </c>
      <c r="U31" s="42"/>
      <c r="V31" s="43">
        <f>IF(T31&gt;0,T31/J31,0)</f>
        <v>0</v>
      </c>
    </row>
    <row r="32" spans="2:22" ht="12.75">
      <c r="B32" s="36">
        <v>24</v>
      </c>
      <c r="C32" s="37">
        <f>IF(R31="","",C31+R31)</f>
        <v>3009914.7127513434</v>
      </c>
      <c r="D32" s="37"/>
      <c r="E32" s="36">
        <f>E31</f>
        <v>2006</v>
      </c>
      <c r="F32" s="38">
        <v>24</v>
      </c>
      <c r="G32" s="36" t="s">
        <v>37</v>
      </c>
      <c r="H32" s="36">
        <v>1.6970900000000002</v>
      </c>
      <c r="I32" s="36"/>
      <c r="J32" s="36">
        <f>ABS(H32-P32)*10000</f>
        <v>39.29999999999989</v>
      </c>
      <c r="K32" s="37">
        <f>IF(F32="","",C32*L$7)</f>
        <v>90297.4413825403</v>
      </c>
      <c r="L32" s="37"/>
      <c r="M32" s="40">
        <f>IF(J32="","",(K32/J32)/1000)</f>
        <v>2.297644818894162</v>
      </c>
      <c r="N32" s="36">
        <f>N31</f>
        <v>2006</v>
      </c>
      <c r="O32" s="38">
        <v>24</v>
      </c>
      <c r="P32" s="36">
        <v>1.7010200000000002</v>
      </c>
      <c r="Q32" s="36"/>
      <c r="R32" s="41">
        <f>IF(O32="","",(IF(G32="売",H32-P32,P32-H32))*M32*10000000)</f>
        <v>-90297.4413825403</v>
      </c>
      <c r="S32" s="41"/>
      <c r="T32" s="42">
        <f>IF(O32="","",IF(R32&lt;0,J32*(-1),IF(G32="買",(P32-H32)*10000,(H32-P32)*10000)))</f>
        <v>-39.29999999999989</v>
      </c>
      <c r="U32" s="42"/>
      <c r="V32" s="43">
        <f>IF(T32&gt;0,T32/J32,0)</f>
        <v>0</v>
      </c>
    </row>
    <row r="33" spans="2:22" ht="12.75">
      <c r="B33" s="36">
        <v>25</v>
      </c>
      <c r="C33" s="37">
        <f>IF(R32="","",C32+R32)</f>
        <v>2919617.271368803</v>
      </c>
      <c r="D33" s="37"/>
      <c r="E33" s="36">
        <f>E32</f>
        <v>2006</v>
      </c>
      <c r="F33" s="38">
        <v>25</v>
      </c>
      <c r="G33" s="36" t="s">
        <v>37</v>
      </c>
      <c r="H33" s="36">
        <v>1.7147100000000002</v>
      </c>
      <c r="I33" s="36"/>
      <c r="J33" s="36">
        <f>ABS(H33-1.71784)*10000</f>
        <v>31.29999999999855</v>
      </c>
      <c r="K33" s="37">
        <f>IF(F33="","",C33*L$7)</f>
        <v>87588.51814106408</v>
      </c>
      <c r="L33" s="37"/>
      <c r="M33" s="40">
        <f>IF(J33="","",(K33/J33)/1000)</f>
        <v>2.798355212174701</v>
      </c>
      <c r="N33" s="36">
        <f>N32</f>
        <v>2006</v>
      </c>
      <c r="O33" s="38">
        <v>25</v>
      </c>
      <c r="P33" s="36">
        <v>1.70912</v>
      </c>
      <c r="Q33" s="36"/>
      <c r="R33" s="41">
        <f>IF(O33="","",(IF(G33="売",H33-P33,P33-H33))*M33*10000000)</f>
        <v>156428.05636057153</v>
      </c>
      <c r="S33" s="41"/>
      <c r="T33" s="42">
        <f>IF(O33="","",IF(R33&lt;0,J33*(-1),IF(G33="買",(P33-H33)*10000,(H33-P33)*10000)))</f>
        <v>55.90000000000206</v>
      </c>
      <c r="U33" s="42"/>
      <c r="V33" s="43">
        <f>IF(T33&gt;0,T33/J33,0)</f>
        <v>1.785942492012928</v>
      </c>
    </row>
    <row r="34" spans="2:22" ht="12.75">
      <c r="B34" s="36">
        <v>26</v>
      </c>
      <c r="C34" s="37">
        <f>IF(R33="","",C33+R33)</f>
        <v>3076045.3277293746</v>
      </c>
      <c r="D34" s="37"/>
      <c r="E34" s="36">
        <f>E33</f>
        <v>2006</v>
      </c>
      <c r="F34" s="38">
        <v>26</v>
      </c>
      <c r="G34" s="36" t="s">
        <v>36</v>
      </c>
      <c r="H34" s="36">
        <v>1.6777000000000002</v>
      </c>
      <c r="I34" s="36"/>
      <c r="J34" s="36">
        <f>ABS(H34-P34)*10000</f>
        <v>21.200000000001218</v>
      </c>
      <c r="K34" s="37">
        <f>IF(F34="","",C34*L$7)</f>
        <v>92281.35983188123</v>
      </c>
      <c r="L34" s="37"/>
      <c r="M34" s="40">
        <f>IF(J34="","",(K34/J34)/1000)</f>
        <v>4.35289433169226</v>
      </c>
      <c r="N34" s="36">
        <f>N33</f>
        <v>2006</v>
      </c>
      <c r="O34" s="38">
        <v>26</v>
      </c>
      <c r="P34" s="36">
        <v>1.67558</v>
      </c>
      <c r="Q34" s="36"/>
      <c r="R34" s="41">
        <f>IF(O34="","",(IF(G34="売",H34-P34,P34-H34))*M34*10000000)</f>
        <v>-92281.35983188121</v>
      </c>
      <c r="S34" s="41"/>
      <c r="T34" s="42">
        <f>IF(O34="","",IF(R34&lt;0,J34*(-1),IF(G34="買",(P34-H34)*10000,(H34-P34)*10000)))</f>
        <v>-21.200000000001218</v>
      </c>
      <c r="U34" s="42"/>
      <c r="V34" s="43">
        <f>IF(T34&gt;0,T34/J34,0)</f>
        <v>0</v>
      </c>
    </row>
    <row r="35" spans="2:22" ht="12.75">
      <c r="B35" s="36">
        <v>27</v>
      </c>
      <c r="C35" s="37">
        <f>IF(R34="","",C34+R34)</f>
        <v>2983763.9678974934</v>
      </c>
      <c r="D35" s="37"/>
      <c r="E35" s="36">
        <f>E34</f>
        <v>2006</v>
      </c>
      <c r="F35" s="38">
        <v>27</v>
      </c>
      <c r="G35" s="36" t="s">
        <v>36</v>
      </c>
      <c r="H35" s="36">
        <v>1.6143399999999999</v>
      </c>
      <c r="I35" s="36"/>
      <c r="J35" s="36">
        <f>ABS(H35-1.60503)*10000</f>
        <v>93.09999999999707</v>
      </c>
      <c r="K35" s="37">
        <f>IF(F35="","",C35*L$7)</f>
        <v>89512.9190369248</v>
      </c>
      <c r="L35" s="37"/>
      <c r="M35" s="40">
        <f>IF(J35="","",(K35/J35)/1000)</f>
        <v>0.9614706663472353</v>
      </c>
      <c r="N35" s="36">
        <f>N34</f>
        <v>2006</v>
      </c>
      <c r="O35" s="38">
        <v>27</v>
      </c>
      <c r="P35" s="36">
        <v>1.62759</v>
      </c>
      <c r="Q35" s="36"/>
      <c r="R35" s="41">
        <f>IF(O35="","",(IF(G35="売",H35-P35,P35-H35))*M35*10000000)</f>
        <v>127394.86329101065</v>
      </c>
      <c r="S35" s="41"/>
      <c r="T35" s="42">
        <f>IF(O35="","",IF(R35&lt;0,J35*(-1),IF(G35="買",(P35-H35)*10000,(H35-P35)*10000)))</f>
        <v>132.50000000000205</v>
      </c>
      <c r="U35" s="42"/>
      <c r="V35" s="43">
        <f>IF(T35&gt;0,T35/J35,0)</f>
        <v>1.4232008592911516</v>
      </c>
    </row>
    <row r="36" spans="2:22" ht="12.75">
      <c r="B36" s="36">
        <v>28</v>
      </c>
      <c r="C36" s="37">
        <f>IF(R35="","",C35+R35)</f>
        <v>3111158.831188504</v>
      </c>
      <c r="D36" s="37"/>
      <c r="E36" s="36">
        <f>E35</f>
        <v>2006</v>
      </c>
      <c r="F36" s="38">
        <v>28</v>
      </c>
      <c r="G36" s="36" t="s">
        <v>37</v>
      </c>
      <c r="H36" s="36">
        <v>1.54613</v>
      </c>
      <c r="I36" s="36"/>
      <c r="J36" s="36">
        <f>ABS(H36-P36)*10000</f>
        <v>17.400000000000748</v>
      </c>
      <c r="K36" s="37">
        <f>IF(F36="","",C36*L$7)</f>
        <v>93334.76493565513</v>
      </c>
      <c r="L36" s="37"/>
      <c r="M36" s="40">
        <f>IF(J36="","",(K36/J36)/1000)</f>
        <v>5.364066950324776</v>
      </c>
      <c r="N36" s="36">
        <f>N35</f>
        <v>2006</v>
      </c>
      <c r="O36" s="38">
        <v>28</v>
      </c>
      <c r="P36" s="36">
        <v>1.54787</v>
      </c>
      <c r="Q36" s="36"/>
      <c r="R36" s="41">
        <f>IF(O36="","",(IF(G36="売",H36-P36,P36-H36))*M36*10000000)</f>
        <v>-93334.76493565511</v>
      </c>
      <c r="S36" s="41"/>
      <c r="T36" s="42">
        <f>IF(O36="","",IF(R36&lt;0,J36*(-1),IF(G36="買",(P36-H36)*10000,(H36-P36)*10000)))</f>
        <v>-17.400000000000748</v>
      </c>
      <c r="U36" s="42"/>
      <c r="V36" s="43">
        <f>IF(T36&gt;0,T36/J36,0)</f>
        <v>0</v>
      </c>
    </row>
    <row r="37" spans="2:22" ht="12.75">
      <c r="B37" s="36">
        <v>29</v>
      </c>
      <c r="C37" s="37">
        <f>IF(R36="","",C36+R36)</f>
        <v>3017824.066252849</v>
      </c>
      <c r="D37" s="37"/>
      <c r="E37" s="36">
        <v>2016</v>
      </c>
      <c r="F37" s="38">
        <v>29</v>
      </c>
      <c r="G37" s="36" t="s">
        <v>36</v>
      </c>
      <c r="H37" s="36">
        <v>1.3872900000000001</v>
      </c>
      <c r="I37" s="36"/>
      <c r="J37" s="36">
        <f>ABS(H37-1.38348)*10000</f>
        <v>38.10000000000091</v>
      </c>
      <c r="K37" s="37">
        <f>IF(F37="","",C37*L$7)</f>
        <v>90534.72198758546</v>
      </c>
      <c r="L37" s="37"/>
      <c r="M37" s="40">
        <f>IF(J37="","",(K37/J37)/1000)</f>
        <v>2.3762394222462806</v>
      </c>
      <c r="N37" s="36">
        <f>N36</f>
        <v>2006</v>
      </c>
      <c r="O37" s="38">
        <v>29</v>
      </c>
      <c r="P37" s="36">
        <v>1.41175</v>
      </c>
      <c r="Q37" s="36"/>
      <c r="R37" s="41">
        <f>IF(O37="","",(IF(G37="売",H37-P37,P37-H37))*M37*10000000)</f>
        <v>581228.1626814385</v>
      </c>
      <c r="S37" s="41"/>
      <c r="T37" s="42">
        <f>IF(O37="","",IF(R37&lt;0,J37*(-1),IF(G37="買",(P37-H37)*10000,(H37-P37)*10000)))</f>
        <v>244.59999999999926</v>
      </c>
      <c r="U37" s="42"/>
      <c r="V37" s="43">
        <f>IF(T37&gt;0,T37/J37,0)</f>
        <v>6.419947506561507</v>
      </c>
    </row>
    <row r="38" spans="2:22" ht="12.75">
      <c r="B38" s="36">
        <v>30</v>
      </c>
      <c r="C38" s="37">
        <f>IF(R37="","",C37+R37)</f>
        <v>3599052.2289342876</v>
      </c>
      <c r="D38" s="37"/>
      <c r="E38" s="36"/>
      <c r="F38" s="38"/>
      <c r="G38" s="36"/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/>
      <c r="O38" s="38"/>
      <c r="P38" s="36"/>
      <c r="Q38" s="36"/>
      <c r="R38" s="41">
        <f>IF(O38="","",(IF(G38="売",H38-P38,P38-H38))*M38*10000000)</f>
      </c>
      <c r="S38" s="41"/>
      <c r="T38" s="42">
        <f>IF(O38="","",IF(R38&lt;0,J38*(-1),IF(G38="買",(P38-H38)*10000,(H38-P38)*10000)))</f>
      </c>
      <c r="U38" s="42"/>
      <c r="V38" s="43" t="e">
        <f>IF(T38&gt;0,T38/J38,0)</f>
        <v>#DIV/0!</v>
      </c>
    </row>
    <row r="39" spans="2:22" ht="12.75">
      <c r="B39" s="36">
        <v>31</v>
      </c>
      <c r="C39" s="37">
        <f>IF(R38="","",C38+R38)</f>
      </c>
      <c r="D39" s="37"/>
      <c r="E39" s="36"/>
      <c r="F39" s="38"/>
      <c r="G39" s="36"/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/>
      <c r="O39" s="38"/>
      <c r="P39" s="36"/>
      <c r="Q39" s="36"/>
      <c r="R39" s="41">
        <f>IF(O39="","",(IF(G39="売",H39-P39,P39-H39))*M39*10000000)</f>
      </c>
      <c r="S39" s="41"/>
      <c r="T39" s="42">
        <f>IF(O39="","",IF(R39&lt;0,J39*(-1),IF(G39="買",(P39-H39)*10000,(H39-P39)*10000)))</f>
      </c>
      <c r="U39" s="42"/>
      <c r="V39" s="43" t="e">
        <f>IF(T39&gt;0,T39/J39,0)</f>
        <v>#DIV/0!</v>
      </c>
    </row>
    <row r="40" spans="2:22" ht="12.75">
      <c r="B40" s="36">
        <v>32</v>
      </c>
      <c r="C40" s="37">
        <f>IF(R39="","",C39+R39)</f>
      </c>
      <c r="D40" s="37"/>
      <c r="E40" s="36"/>
      <c r="F40" s="38"/>
      <c r="G40" s="36"/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/>
      <c r="O40" s="38"/>
      <c r="P40" s="36"/>
      <c r="Q40" s="36"/>
      <c r="R40" s="41">
        <f>IF(O40="","",(IF(G40="売",H40-P40,P40-H40))*M40*10000000)</f>
      </c>
      <c r="S40" s="41"/>
      <c r="T40" s="42">
        <f>IF(O40="","",IF(R40&lt;0,J40*(-1),IF(G40="買",(P40-H40)*10000,(H40-P40)*10000)))</f>
      </c>
      <c r="U40" s="42"/>
      <c r="V40" s="43" t="e">
        <f>IF(T40&gt;0,T40/J40,0)</f>
        <v>#DIV/0!</v>
      </c>
    </row>
    <row r="41" spans="2:22" ht="12.75">
      <c r="B41" s="36">
        <v>33</v>
      </c>
      <c r="C41" s="37">
        <f>IF(R40="","",C40+R40)</f>
      </c>
      <c r="D41" s="37"/>
      <c r="E41" s="36"/>
      <c r="F41" s="38"/>
      <c r="G41" s="36"/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/>
      <c r="O41" s="38"/>
      <c r="P41" s="36"/>
      <c r="Q41" s="36"/>
      <c r="R41" s="41">
        <f>IF(O41="","",(IF(G41="売",H41-P41,P41-H41))*M41*10000000)</f>
      </c>
      <c r="S41" s="41"/>
      <c r="T41" s="42">
        <f>IF(O41="","",IF(R41&lt;0,J41*(-1),IF(G41="買",(P41-H41)*10000,(H41-P41)*10000)))</f>
      </c>
      <c r="U41" s="42"/>
      <c r="V41" s="43" t="e">
        <f>IF(T41&gt;0,T41/J41,0)</f>
        <v>#DIV/0!</v>
      </c>
    </row>
    <row r="42" spans="2:22" ht="12.75">
      <c r="B42" s="36">
        <v>34</v>
      </c>
      <c r="C42" s="37">
        <f>IF(R41="","",C41+R41)</f>
      </c>
      <c r="D42" s="37"/>
      <c r="E42" s="36"/>
      <c r="F42" s="38"/>
      <c r="G42" s="36"/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/>
      <c r="O42" s="38"/>
      <c r="P42" s="36"/>
      <c r="Q42" s="36"/>
      <c r="R42" s="41">
        <f>IF(O42="","",(IF(G42="売",H42-P42,P42-H42))*M42*10000000)</f>
      </c>
      <c r="S42" s="41"/>
      <c r="T42" s="42">
        <f>IF(O42="","",IF(R42&lt;0,J42*(-1),IF(G42="買",(P42-H42)*10000,(H42-P42)*10000)))</f>
      </c>
      <c r="U42" s="42"/>
      <c r="V42" s="43" t="e">
        <f>IF(T42&gt;0,T42/J42,0)</f>
        <v>#DIV/0!</v>
      </c>
    </row>
    <row r="43" spans="2:22" ht="12.75">
      <c r="B43" s="36">
        <v>35</v>
      </c>
      <c r="C43" s="37">
        <f>IF(R42="","",C42+R42)</f>
      </c>
      <c r="D43" s="37"/>
      <c r="E43" s="36"/>
      <c r="F43" s="38"/>
      <c r="G43" s="36"/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/>
      <c r="O43" s="38"/>
      <c r="P43" s="36"/>
      <c r="Q43" s="36"/>
      <c r="R43" s="41">
        <f>IF(O43="","",(IF(G43="売",H43-P43,P43-H43))*M43*10000000)</f>
      </c>
      <c r="S43" s="41"/>
      <c r="T43" s="42">
        <f>IF(O43="","",IF(R43&lt;0,J43*(-1),IF(G43="買",(P43-H43)*10000,(H43-P43)*10000)))</f>
      </c>
      <c r="U43" s="42"/>
      <c r="V43" s="43" t="e">
        <f>IF(T43&gt;0,T43/J43,0)</f>
        <v>#DIV/0!</v>
      </c>
    </row>
    <row r="44" spans="2:22" ht="12.75">
      <c r="B44" s="36">
        <v>36</v>
      </c>
      <c r="C44" s="37">
        <f>IF(R43="","",C43+R43)</f>
      </c>
      <c r="D44" s="37"/>
      <c r="E44" s="36"/>
      <c r="F44" s="38"/>
      <c r="G44" s="36"/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/>
      <c r="O44" s="38"/>
      <c r="P44" s="36"/>
      <c r="Q44" s="36"/>
      <c r="R44" s="41">
        <f>IF(O44="","",(IF(G44="売",H44-P44,P44-H44))*M44*10000000)</f>
      </c>
      <c r="S44" s="41"/>
      <c r="T44" s="42">
        <f>IF(O44="","",IF(R44&lt;0,J44*(-1),IF(G44="買",(P44-H44)*10000,(H44-P44)*10000)))</f>
      </c>
      <c r="U44" s="42"/>
      <c r="V44" s="43" t="e">
        <f>IF(T44&gt;0,T44/J44,0)</f>
        <v>#DIV/0!</v>
      </c>
    </row>
    <row r="45" spans="2:22" ht="12.75">
      <c r="B45" s="36">
        <v>37</v>
      </c>
      <c r="C45" s="37">
        <f>IF(R44="","",C44+R44)</f>
      </c>
      <c r="D45" s="37"/>
      <c r="E45" s="36"/>
      <c r="F45" s="38"/>
      <c r="G45" s="36"/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/>
      <c r="O45" s="38"/>
      <c r="P45" s="36"/>
      <c r="Q45" s="36"/>
      <c r="R45" s="41">
        <f>IF(O45="","",(IF(G45="売",H45-P45,P45-H45))*M45*10000000)</f>
      </c>
      <c r="S45" s="41"/>
      <c r="T45" s="42">
        <f>IF(O45="","",IF(R45&lt;0,J45*(-1),IF(G45="買",(P45-H45)*10000,(H45-P45)*10000)))</f>
      </c>
      <c r="U45" s="42"/>
      <c r="V45" s="43" t="e">
        <f>IF(T45&gt;0,T45/J45,0)</f>
        <v>#DIV/0!</v>
      </c>
    </row>
    <row r="46" spans="2:22" ht="12.75">
      <c r="B46" s="36">
        <v>38</v>
      </c>
      <c r="C46" s="37">
        <f>IF(R45="","",C45+R45)</f>
      </c>
      <c r="D46" s="37"/>
      <c r="E46" s="36"/>
      <c r="F46" s="38"/>
      <c r="G46" s="36"/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/>
      <c r="O46" s="38"/>
      <c r="P46" s="36"/>
      <c r="Q46" s="36"/>
      <c r="R46" s="41">
        <f>IF(O46="","",(IF(G46="売",H46-P46,P46-H46))*M46*10000000)</f>
      </c>
      <c r="S46" s="41"/>
      <c r="T46" s="42">
        <f>IF(O46="","",IF(R46&lt;0,J46*(-1),IF(G46="買",(P46-H46)*10000,(H46-P46)*10000)))</f>
      </c>
      <c r="U46" s="42"/>
      <c r="V46" s="43" t="e">
        <f>IF(T46&gt;0,T46/J46,0)</f>
        <v>#DIV/0!</v>
      </c>
    </row>
    <row r="47" spans="2:22" ht="12.75">
      <c r="B47" s="36">
        <v>39</v>
      </c>
      <c r="C47" s="37">
        <f>IF(R46="","",C46+R46)</f>
      </c>
      <c r="D47" s="37"/>
      <c r="E47" s="36"/>
      <c r="F47" s="38"/>
      <c r="G47" s="36"/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/>
      <c r="O47" s="38"/>
      <c r="P47" s="36"/>
      <c r="Q47" s="36"/>
      <c r="R47" s="41">
        <f>IF(O47="","",(IF(G47="売",H47-P47,P47-H47))*M47*10000000)</f>
      </c>
      <c r="S47" s="41"/>
      <c r="T47" s="42">
        <f>IF(O47="","",IF(R47&lt;0,J47*(-1),IF(G47="買",(P47-H47)*10000,(H47-P47)*10000)))</f>
      </c>
      <c r="U47" s="42"/>
      <c r="V47" s="43" t="e">
        <f>IF(T47&gt;0,T47/J47,0)</f>
        <v>#DIV/0!</v>
      </c>
    </row>
    <row r="48" spans="2:22" ht="12.75">
      <c r="B48" s="36">
        <v>40</v>
      </c>
      <c r="C48" s="37">
        <f>IF(R47="","",C47+R47)</f>
      </c>
      <c r="D48" s="37"/>
      <c r="E48" s="36"/>
      <c r="F48" s="38"/>
      <c r="G48" s="36"/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/>
      <c r="O48" s="38"/>
      <c r="P48" s="36"/>
      <c r="Q48" s="36"/>
      <c r="R48" s="41">
        <f>IF(O48="","",(IF(G48="売",H48-P48,P48-H48))*M48*10000000)</f>
      </c>
      <c r="S48" s="41"/>
      <c r="T48" s="42">
        <f>IF(O48="","",IF(R48&lt;0,J48*(-1),IF(G48="買",(P48-H48)*10000,(H48-P48)*10000)))</f>
      </c>
      <c r="U48" s="42"/>
      <c r="V48" s="43" t="e">
        <f>IF(T48&gt;0,T48/J48,0)</f>
        <v>#DIV/0!</v>
      </c>
    </row>
    <row r="49" spans="2:22" ht="12.75">
      <c r="B49" s="36">
        <v>41</v>
      </c>
      <c r="C49" s="37">
        <f>IF(R48="","",C48+R48)</f>
      </c>
      <c r="D49" s="37"/>
      <c r="E49" s="36"/>
      <c r="F49" s="38"/>
      <c r="G49" s="36"/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/>
      <c r="O49" s="38"/>
      <c r="P49" s="36"/>
      <c r="Q49" s="36"/>
      <c r="R49" s="41">
        <f>IF(O49="","",(IF(G49="売",H49-P49,P49-H49))*M49*10000000)</f>
      </c>
      <c r="S49" s="41"/>
      <c r="T49" s="42">
        <f>IF(O49="","",IF(R49&lt;0,J49*(-1),IF(G49="買",(P49-H49)*10000,(H49-P49)*10000)))</f>
      </c>
      <c r="U49" s="42"/>
      <c r="V49" s="43" t="e">
        <f>IF(T49&gt;0,T49/J49,0)</f>
        <v>#DIV/0!</v>
      </c>
    </row>
    <row r="50" spans="2:22" ht="12.75">
      <c r="B50" s="36">
        <v>42</v>
      </c>
      <c r="C50" s="37">
        <f>IF(R49="","",C49+R49)</f>
      </c>
      <c r="D50" s="37"/>
      <c r="E50" s="36"/>
      <c r="F50" s="38"/>
      <c r="G50" s="36"/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/>
      <c r="O50" s="38"/>
      <c r="P50" s="36"/>
      <c r="Q50" s="36"/>
      <c r="R50" s="41">
        <f>IF(O50="","",(IF(G50="売",H50-P50,P50-H50))*M50*10000000)</f>
      </c>
      <c r="S50" s="41"/>
      <c r="T50" s="42">
        <f>IF(O50="","",IF(R50&lt;0,J50*(-1),IF(G50="買",(P50-H50)*10000,(H50-P50)*10000)))</f>
      </c>
      <c r="U50" s="42"/>
      <c r="V50" s="43" t="e">
        <f>IF(T50&gt;0,T50/J50,0)</f>
        <v>#DIV/0!</v>
      </c>
    </row>
    <row r="51" spans="2:22" ht="12.75">
      <c r="B51" s="36">
        <v>43</v>
      </c>
      <c r="C51" s="37">
        <f>IF(R50="","",C50+R50)</f>
      </c>
      <c r="D51" s="37"/>
      <c r="E51" s="36"/>
      <c r="F51" s="38"/>
      <c r="G51" s="36"/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/>
      <c r="O51" s="38"/>
      <c r="P51" s="36"/>
      <c r="Q51" s="36"/>
      <c r="R51" s="41">
        <f>IF(O51="","",(IF(G51="売",H51-P51,P51-H51))*M51*10000000)</f>
      </c>
      <c r="S51" s="41"/>
      <c r="T51" s="42">
        <f>IF(O51="","",IF(R51&lt;0,J51*(-1),IF(G51="買",(P51-H51)*10000,(H51-P51)*10000)))</f>
      </c>
      <c r="U51" s="42"/>
      <c r="V51" s="43" t="e">
        <f>IF(T51&gt;0,T51/J51,0)</f>
        <v>#DIV/0!</v>
      </c>
    </row>
    <row r="52" spans="2:22" ht="12.75">
      <c r="B52" s="36">
        <v>44</v>
      </c>
      <c r="C52" s="37">
        <f>IF(R51="","",C51+R51)</f>
      </c>
      <c r="D52" s="37"/>
      <c r="E52" s="36"/>
      <c r="F52" s="38"/>
      <c r="G52" s="36"/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/>
      <c r="O52" s="38"/>
      <c r="P52" s="36"/>
      <c r="Q52" s="36"/>
      <c r="R52" s="41">
        <f>IF(O52="","",(IF(G52="売",H52-P52,P52-H52))*M52*10000000)</f>
      </c>
      <c r="S52" s="41"/>
      <c r="T52" s="42">
        <f>IF(O52="","",IF(R52&lt;0,J52*(-1),IF(G52="買",(P52-H52)*10000,(H52-P52)*10000)))</f>
      </c>
      <c r="U52" s="42"/>
      <c r="V52" s="43" t="e">
        <f>IF(T52&gt;0,T52/J52,0)</f>
        <v>#DIV/0!</v>
      </c>
    </row>
    <row r="53" spans="2:22" ht="12.75">
      <c r="B53" s="36">
        <v>45</v>
      </c>
      <c r="C53" s="37">
        <f>IF(R52="","",C52+R52)</f>
      </c>
      <c r="D53" s="37"/>
      <c r="E53" s="36"/>
      <c r="F53" s="38"/>
      <c r="G53" s="36"/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/>
      <c r="O53" s="38"/>
      <c r="P53" s="36"/>
      <c r="Q53" s="36"/>
      <c r="R53" s="41">
        <f>IF(O53="","",(IF(G53="売",H53-P53,P53-H53))*M53*10000000)</f>
      </c>
      <c r="S53" s="41"/>
      <c r="T53" s="42">
        <f>IF(O53="","",IF(R53&lt;0,J53*(-1),IF(G53="買",(P53-H53)*10000,(H53-P53)*10000)))</f>
      </c>
      <c r="U53" s="42"/>
      <c r="V53" s="43" t="e">
        <f>IF(T53&gt;0,T53/J53,0)</f>
        <v>#DIV/0!</v>
      </c>
    </row>
    <row r="54" spans="2:22" ht="12.75">
      <c r="B54" s="36">
        <v>46</v>
      </c>
      <c r="C54" s="37">
        <f>IF(R53="","",C53+R53)</f>
      </c>
      <c r="D54" s="37"/>
      <c r="E54" s="36"/>
      <c r="F54" s="38"/>
      <c r="G54" s="36"/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/>
      <c r="O54" s="38"/>
      <c r="P54" s="36"/>
      <c r="Q54" s="36"/>
      <c r="R54" s="41">
        <f>IF(O54="","",(IF(G54="売",H54-P54,P54-H54))*M54*10000000)</f>
      </c>
      <c r="S54" s="41"/>
      <c r="T54" s="42">
        <f>IF(O54="","",IF(R54&lt;0,J54*(-1),IF(G54="買",(P54-H54)*10000,(H54-P54)*10000)))</f>
      </c>
      <c r="U54" s="42"/>
      <c r="V54" s="43" t="e">
        <f>IF(T54&gt;0,T54/J54,0)</f>
        <v>#DIV/0!</v>
      </c>
    </row>
    <row r="55" spans="2:22" ht="12.75">
      <c r="B55" s="36">
        <v>47</v>
      </c>
      <c r="C55" s="37">
        <f>IF(R54="","",C54+R54)</f>
      </c>
      <c r="D55" s="37"/>
      <c r="E55" s="36"/>
      <c r="F55" s="38"/>
      <c r="G55" s="36"/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/>
      <c r="O55" s="38"/>
      <c r="P55" s="36"/>
      <c r="Q55" s="36"/>
      <c r="R55" s="41">
        <f>IF(O55="","",(IF(G55="売",H55-P55,P55-H55))*M55*10000000)</f>
      </c>
      <c r="S55" s="41"/>
      <c r="T55" s="42">
        <f>IF(O55="","",IF(R55&lt;0,J55*(-1),IF(G55="買",(P55-H55)*10000,(H55-P55)*10000)))</f>
      </c>
      <c r="U55" s="42"/>
      <c r="V55" s="43" t="e">
        <f>IF(T55&gt;0,T55/J55,0)</f>
        <v>#DIV/0!</v>
      </c>
    </row>
    <row r="56" spans="2:22" ht="12.75">
      <c r="B56" s="36">
        <v>48</v>
      </c>
      <c r="C56" s="37">
        <f>IF(R55="","",C55+R55)</f>
      </c>
      <c r="D56" s="37"/>
      <c r="E56" s="36"/>
      <c r="F56" s="38"/>
      <c r="G56" s="36"/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/>
      <c r="O56" s="38"/>
      <c r="P56" s="36"/>
      <c r="Q56" s="36"/>
      <c r="R56" s="41">
        <f>IF(O56="","",(IF(G56="売",H56-P56,P56-H56))*M56*10000000)</f>
      </c>
      <c r="S56" s="41"/>
      <c r="T56" s="42">
        <f>IF(O56="","",IF(R56&lt;0,J56*(-1),IF(G56="買",(P56-H56)*100,(H56-P56)*10000)))</f>
      </c>
      <c r="U56" s="42"/>
      <c r="V56" s="43" t="e">
        <f>IF(T56&gt;0,T56/J56,0)</f>
        <v>#DIV/0!</v>
      </c>
    </row>
    <row r="57" spans="2:22" ht="12.75">
      <c r="B57" s="36">
        <v>49</v>
      </c>
      <c r="C57" s="37">
        <f>IF(R56="","",C56+R56)</f>
      </c>
      <c r="D57" s="37"/>
      <c r="E57" s="36"/>
      <c r="F57" s="38"/>
      <c r="G57" s="36"/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/>
      <c r="O57" s="38"/>
      <c r="P57" s="36"/>
      <c r="Q57" s="36"/>
      <c r="R57" s="41">
        <f>IF(O57="","",(IF(G57="売",H57-P57,P57-H57))*M57*10000000)</f>
      </c>
      <c r="S57" s="41"/>
      <c r="T57" s="42">
        <f>IF(O57="","",IF(R57&lt;0,J57*(-1),IF(G57="買",(P57-H57)*100,(H57-P57)*10000)))</f>
      </c>
      <c r="U57" s="42"/>
      <c r="V57" s="43" t="e">
        <f>IF(T57&gt;0,T57/J57,0)</f>
        <v>#DIV/0!</v>
      </c>
    </row>
    <row r="58" spans="2:22" ht="12.75">
      <c r="B58" s="36">
        <v>50</v>
      </c>
      <c r="C58" s="37">
        <f>IF(R57="","",C57+R57)</f>
      </c>
      <c r="D58" s="37"/>
      <c r="E58" s="36"/>
      <c r="F58" s="38"/>
      <c r="G58" s="36"/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/>
      <c r="O58" s="38"/>
      <c r="P58" s="36"/>
      <c r="Q58" s="36"/>
      <c r="R58" s="41">
        <f>IF(O58="","",(IF(G58="売",H58-P58,P58-H58))*M58*10000000)</f>
      </c>
      <c r="S58" s="41"/>
      <c r="T58" s="42">
        <f>IF(O58="","",IF(R58&lt;0,J58*(-1),IF(G58="買",(P58-H58)*100,(H58-P58)*10000)))</f>
      </c>
      <c r="U58" s="42"/>
      <c r="V58" s="43" t="e">
        <f>IF(T58&gt;0,T58/J58,0)</f>
        <v>#DIV/0!</v>
      </c>
    </row>
    <row r="59" spans="2:22" ht="12.75">
      <c r="B59" s="36">
        <v>51</v>
      </c>
      <c r="C59" s="37">
        <f>IF(R58="","",C58+R58)</f>
      </c>
      <c r="D59" s="37"/>
      <c r="E59" s="36"/>
      <c r="F59" s="38"/>
      <c r="G59" s="36"/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/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/>
      <c r="F60" s="38"/>
      <c r="G60" s="36"/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/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/>
      <c r="F61" s="38"/>
      <c r="G61" s="36"/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/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/>
      <c r="F62" s="38"/>
      <c r="G62" s="36"/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/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/>
      <c r="F63" s="38"/>
      <c r="G63" s="36"/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/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/>
      <c r="F64" s="38"/>
      <c r="G64" s="36"/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/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/>
      <c r="F65" s="38"/>
      <c r="G65" s="36"/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/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/>
      <c r="F66" s="38"/>
      <c r="G66" s="36"/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/>
      <c r="O66" s="38"/>
      <c r="P66" s="39"/>
      <c r="Q66" s="39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/>
      <c r="F67" s="38"/>
      <c r="G67" s="36"/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/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/>
      <c r="F68" s="38"/>
      <c r="G68" s="36"/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/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0</v>
      </c>
      <c r="F69" s="38"/>
      <c r="G69" s="36"/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/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0</v>
      </c>
      <c r="F70" s="38"/>
      <c r="G70" s="36"/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/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0</v>
      </c>
      <c r="F71" s="38"/>
      <c r="G71" s="36"/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/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0</v>
      </c>
      <c r="F72" s="38"/>
      <c r="G72" s="36"/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/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0</v>
      </c>
      <c r="F73" s="38"/>
      <c r="G73" s="36"/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/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0</v>
      </c>
      <c r="F74" s="38"/>
      <c r="G74" s="36"/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/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0</v>
      </c>
      <c r="F75" s="38"/>
      <c r="G75" s="36"/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/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0</v>
      </c>
      <c r="F76" s="38"/>
      <c r="G76" s="36"/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/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0</v>
      </c>
      <c r="F77" s="38"/>
      <c r="G77" s="36"/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/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0</v>
      </c>
      <c r="F78" s="38"/>
      <c r="G78" s="36"/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/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0</v>
      </c>
      <c r="F79" s="38"/>
      <c r="G79" s="36"/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/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0</v>
      </c>
      <c r="F80" s="38"/>
      <c r="G80" s="36"/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/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0</v>
      </c>
      <c r="F81" s="38"/>
      <c r="G81" s="36"/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/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0</v>
      </c>
      <c r="F82" s="38"/>
      <c r="G82" s="36"/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/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0</v>
      </c>
      <c r="F83" s="38"/>
      <c r="G83" s="36"/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/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0</v>
      </c>
      <c r="F84" s="38"/>
      <c r="G84" s="36"/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/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0</v>
      </c>
      <c r="F85" s="38"/>
      <c r="G85" s="36"/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/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0</v>
      </c>
      <c r="F86" s="38"/>
      <c r="G86" s="36"/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/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0</v>
      </c>
      <c r="F87" s="38"/>
      <c r="G87" s="36"/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/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0</v>
      </c>
      <c r="F88" s="38"/>
      <c r="G88" s="36"/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/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0</v>
      </c>
      <c r="F89" s="38"/>
      <c r="G89" s="36"/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/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0</v>
      </c>
      <c r="F90" s="38"/>
      <c r="G90" s="36"/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/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0</v>
      </c>
      <c r="F91" s="38"/>
      <c r="G91" s="36"/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/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0</v>
      </c>
      <c r="F92" s="38"/>
      <c r="G92" s="36"/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/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0</v>
      </c>
      <c r="F93" s="38"/>
      <c r="G93" s="36"/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/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0</v>
      </c>
      <c r="F94" s="38"/>
      <c r="G94" s="36"/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/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0</v>
      </c>
      <c r="F95" s="38"/>
      <c r="G95" s="36"/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/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0</v>
      </c>
      <c r="F96" s="38"/>
      <c r="G96" s="36"/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/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0</v>
      </c>
      <c r="F97" s="38"/>
      <c r="G97" s="36"/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/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0</v>
      </c>
      <c r="F98" s="38"/>
      <c r="G98" s="36"/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/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0</v>
      </c>
      <c r="F99" s="38"/>
      <c r="G99" s="36"/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/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0</v>
      </c>
      <c r="F100" s="38"/>
      <c r="G100" s="36"/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/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0</v>
      </c>
      <c r="F101" s="38"/>
      <c r="G101" s="36"/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/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0</v>
      </c>
      <c r="F102" s="38"/>
      <c r="G102" s="36"/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/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0</v>
      </c>
      <c r="F103" s="38"/>
      <c r="G103" s="36"/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/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0</v>
      </c>
      <c r="F104" s="38"/>
      <c r="G104" s="36"/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/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0</v>
      </c>
      <c r="F105" s="38"/>
      <c r="G105" s="36"/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/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0</v>
      </c>
      <c r="F106" s="38"/>
      <c r="G106" s="36"/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/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0</v>
      </c>
      <c r="F107" s="38"/>
      <c r="G107" s="36"/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/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0</v>
      </c>
      <c r="F108" s="38"/>
      <c r="G108" s="36"/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/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80" zoomScaleNormal="80" zoomScaleSheetLayoutView="100" workbookViewId="0" topLeftCell="A1">
      <selection activeCell="A21" sqref="A21"/>
    </sheetView>
  </sheetViews>
  <sheetFormatPr defaultColWidth="9.00390625" defaultRowHeight="13.5"/>
  <cols>
    <col min="1" max="1" width="5.125" style="0" customWidth="1"/>
  </cols>
  <sheetData>
    <row r="1" spans="1:10" ht="12.75">
      <c r="A1" s="44" t="s">
        <v>39</v>
      </c>
      <c r="C1" s="45"/>
      <c r="D1" s="45"/>
      <c r="E1" s="45"/>
      <c r="F1" s="45"/>
      <c r="G1" s="45"/>
      <c r="H1" s="45"/>
      <c r="I1" s="45"/>
      <c r="J1" s="45"/>
    </row>
    <row r="3" spans="1:10" ht="12.75">
      <c r="A3" t="s">
        <v>40</v>
      </c>
      <c r="B3" s="45"/>
      <c r="C3" s="45"/>
      <c r="D3" s="45"/>
      <c r="E3" s="45"/>
      <c r="F3" s="45"/>
      <c r="G3" s="45"/>
      <c r="H3" s="45"/>
      <c r="I3" s="45"/>
      <c r="J3" s="45"/>
    </row>
    <row r="4" spans="2:10" ht="12.75">
      <c r="B4" s="45"/>
      <c r="C4" s="45"/>
      <c r="D4" s="45"/>
      <c r="E4" s="45"/>
      <c r="F4" s="45"/>
      <c r="G4" s="45"/>
      <c r="H4" s="45"/>
      <c r="I4" s="45"/>
      <c r="J4" s="45"/>
    </row>
    <row r="7" spans="2:10" ht="12.75" customHeight="1">
      <c r="B7" s="46"/>
      <c r="C7" s="46"/>
      <c r="D7" s="46"/>
      <c r="E7" s="46"/>
      <c r="F7" s="46"/>
      <c r="G7" s="46"/>
      <c r="H7" s="46"/>
      <c r="I7" s="46"/>
      <c r="J7" s="46"/>
    </row>
    <row r="8" spans="2:10" ht="12.75">
      <c r="B8" s="46"/>
      <c r="C8" s="46"/>
      <c r="D8" s="46"/>
      <c r="E8" s="46"/>
      <c r="F8" s="46"/>
      <c r="G8" s="46"/>
      <c r="H8" s="46"/>
      <c r="I8" s="46"/>
      <c r="J8" s="46"/>
    </row>
    <row r="9" spans="2:10" ht="12.75"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44" t="s">
        <v>41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2:10" ht="12.75"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t="s">
        <v>40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2:10" ht="12.75">
      <c r="B13" s="46"/>
      <c r="C13" s="46"/>
      <c r="D13" s="46"/>
      <c r="E13" s="46"/>
      <c r="F13" s="46"/>
      <c r="G13" s="46"/>
      <c r="H13" s="46"/>
      <c r="I13" s="46"/>
      <c r="J13" s="46"/>
    </row>
    <row r="14" spans="2:10" ht="12.75">
      <c r="B14" s="46"/>
      <c r="C14" s="46"/>
      <c r="D14" s="46"/>
      <c r="E14" s="46"/>
      <c r="F14" s="46"/>
      <c r="G14" s="46"/>
      <c r="H14" s="46"/>
      <c r="I14" s="46"/>
      <c r="J14" s="46"/>
    </row>
    <row r="15" spans="2:10" ht="12.75"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>
      <c r="A16" s="47"/>
      <c r="B16" s="46"/>
      <c r="C16" s="46"/>
      <c r="D16" s="46"/>
      <c r="E16" s="46"/>
      <c r="F16" s="46"/>
      <c r="G16" s="46"/>
      <c r="H16" s="46"/>
      <c r="I16" s="46"/>
      <c r="J16" s="46"/>
    </row>
    <row r="17" spans="2:10" ht="12.75">
      <c r="B17" s="46"/>
      <c r="C17" s="46"/>
      <c r="D17" s="46"/>
      <c r="E17" s="46"/>
      <c r="F17" s="46"/>
      <c r="G17" s="46"/>
      <c r="H17" s="46"/>
      <c r="I17" s="46"/>
      <c r="J17" s="46"/>
    </row>
    <row r="18" spans="2:10" ht="12.75"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4" t="s">
        <v>42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2:10" ht="12.75"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t="s">
        <v>43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2:10" ht="12.75">
      <c r="B22" s="46"/>
      <c r="C22" s="46"/>
      <c r="D22" s="46"/>
      <c r="E22" s="46"/>
      <c r="F22" s="46"/>
      <c r="G22" s="46"/>
      <c r="H22" s="46"/>
      <c r="I22" s="46"/>
      <c r="J22" s="46"/>
    </row>
    <row r="23" spans="2:10" ht="12.75">
      <c r="B23" s="46"/>
      <c r="C23" s="46"/>
      <c r="D23" s="46"/>
      <c r="E23" s="46"/>
      <c r="F23" s="46"/>
      <c r="G23" s="46"/>
      <c r="H23" s="46"/>
      <c r="I23" s="46"/>
      <c r="J23" s="46"/>
    </row>
    <row r="24" spans="2:10" ht="12.75">
      <c r="B24" s="46"/>
      <c r="C24" s="46"/>
      <c r="D24" s="46"/>
      <c r="E24" s="46"/>
      <c r="F24" s="46"/>
      <c r="G24" s="46"/>
      <c r="H24" s="46"/>
      <c r="I24" s="46"/>
      <c r="J24" s="46"/>
    </row>
    <row r="25" spans="2:10" ht="12.75"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2.75">
      <c r="A26" s="48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2.75">
      <c r="A27" s="47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47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47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2.75">
      <c r="A30" s="47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49" customFormat="1" ht="12.75">
      <c r="A31" s="48"/>
      <c r="B31" s="45"/>
      <c r="C31" s="45"/>
      <c r="D31" s="45"/>
      <c r="E31" s="45"/>
      <c r="F31" s="45"/>
      <c r="G31" s="45"/>
      <c r="H31" s="45"/>
      <c r="I31" s="45"/>
      <c r="J31" s="45"/>
    </row>
    <row r="32" spans="1:10" s="52" customFormat="1" ht="12.75">
      <c r="A32" s="50"/>
      <c r="B32" s="51"/>
      <c r="C32" s="51"/>
      <c r="D32" s="51"/>
      <c r="E32" s="51"/>
      <c r="F32" s="51"/>
      <c r="G32" s="51"/>
      <c r="H32" s="51"/>
      <c r="I32" s="51"/>
      <c r="J32" s="51"/>
    </row>
    <row r="33" spans="1:10" s="52" customFormat="1" ht="12.75">
      <c r="A33" s="50"/>
      <c r="B33" s="51"/>
      <c r="C33" s="51"/>
      <c r="D33" s="51"/>
      <c r="E33" s="51"/>
      <c r="F33" s="51"/>
      <c r="G33" s="51"/>
      <c r="H33" s="51"/>
      <c r="I33" s="51"/>
      <c r="J33" s="51"/>
    </row>
    <row r="34" spans="1:10" s="49" customFormat="1" ht="12.75">
      <c r="A34" s="48"/>
      <c r="B34" s="45"/>
      <c r="C34" s="45"/>
      <c r="D34" s="45"/>
      <c r="E34" s="45"/>
      <c r="F34" s="45"/>
      <c r="G34" s="45"/>
      <c r="H34" s="45"/>
      <c r="I34" s="45"/>
      <c r="J34" s="45"/>
    </row>
    <row r="35" s="49" customFormat="1" ht="12.75"/>
    <row r="36" spans="1:10" s="49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6"/>
      <c r="B37" s="46"/>
      <c r="C37" s="46"/>
      <c r="D37" s="46"/>
      <c r="E37" s="46"/>
      <c r="F37" s="46"/>
      <c r="G37" s="46"/>
      <c r="H37" s="46"/>
      <c r="I37" s="46"/>
      <c r="J37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X54" sqref="X5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44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45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1226571.825619247</v>
      </c>
      <c r="E4" s="8"/>
      <c r="F4" s="2" t="s">
        <v>11</v>
      </c>
      <c r="G4" s="2"/>
      <c r="H4" s="9">
        <f>SUM($T$9:$U$109)</f>
        <v>1325.1999999999975</v>
      </c>
      <c r="I4" s="9"/>
      <c r="J4" s="10" t="s">
        <v>12</v>
      </c>
      <c r="K4" s="10"/>
      <c r="L4" s="4">
        <f>MAX($C$9:$D$991)-C9</f>
        <v>1395742.245326966</v>
      </c>
      <c r="M4" s="4"/>
      <c r="N4" s="10" t="s">
        <v>13</v>
      </c>
      <c r="O4" s="10"/>
      <c r="P4" s="8">
        <f>MIN($C$9:$D$991)-C9</f>
        <v>-170626.8725386106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22</v>
      </c>
      <c r="D5" s="2" t="s">
        <v>15</v>
      </c>
      <c r="E5" s="13">
        <f>COUNTIF($R$9:$R$991,"&lt;0")</f>
        <v>25</v>
      </c>
      <c r="F5" s="2" t="s">
        <v>16</v>
      </c>
      <c r="G5" s="12">
        <f>COUNTIF($R$9:$R$991,"=0")</f>
        <v>0</v>
      </c>
      <c r="H5" s="2" t="s">
        <v>17</v>
      </c>
      <c r="I5" s="14">
        <f>C5/SUM(C5,E5,G5)</f>
        <v>0.46808510638297873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2010</v>
      </c>
      <c r="F9" s="38">
        <v>1</v>
      </c>
      <c r="G9" s="36" t="s">
        <v>37</v>
      </c>
      <c r="H9" s="39">
        <v>1.3759000000000001</v>
      </c>
      <c r="I9" s="39"/>
      <c r="J9" s="36">
        <f>ABS(H9-1.3816)*10000</f>
        <v>56.99999999999817</v>
      </c>
      <c r="K9" s="37">
        <f>IF(F9="","",C9*L$7)</f>
        <v>30000</v>
      </c>
      <c r="L9" s="37"/>
      <c r="M9" s="40">
        <f>IF(J9="","",(K9/J9)/1000)</f>
        <v>0.5263157894737011</v>
      </c>
      <c r="N9" s="36">
        <v>2010</v>
      </c>
      <c r="O9" s="38">
        <v>1</v>
      </c>
      <c r="P9" s="39">
        <v>1.37087</v>
      </c>
      <c r="Q9" s="39"/>
      <c r="R9" s="41">
        <f>IF(O9="","",(IF(G9="売",H9-P9,P9-H9))*M9*10000000)</f>
        <v>26473.684210527637</v>
      </c>
      <c r="S9" s="41"/>
      <c r="T9" s="42">
        <f>IF(O9="","",IF(R9&lt;0,J9*(-1),IF(G9="買",(P9-H9)*10000,(H9-P9)*10000)))</f>
        <v>50.3000000000009</v>
      </c>
      <c r="U9" s="42"/>
      <c r="V9" s="43">
        <f>IF(T9&gt;0,T9/J9,0)</f>
        <v>0.8824561403509213</v>
      </c>
    </row>
    <row r="10" spans="2:22" ht="12.75">
      <c r="B10" s="36">
        <v>2</v>
      </c>
      <c r="C10" s="37">
        <f>IF(R9="","",C9+R9)</f>
        <v>1026473.6842105277</v>
      </c>
      <c r="D10" s="37"/>
      <c r="E10" s="36">
        <f>E9</f>
        <v>2010</v>
      </c>
      <c r="F10" s="38">
        <v>2</v>
      </c>
      <c r="G10" s="36" t="s">
        <v>36</v>
      </c>
      <c r="H10" s="39">
        <v>1.2227000000000001</v>
      </c>
      <c r="I10" s="39"/>
      <c r="J10" s="36">
        <f>ABS(H10-P10)*10000</f>
        <v>79.00000000000018</v>
      </c>
      <c r="K10" s="37">
        <f>IF(F10="","",C10*L$7)</f>
        <v>30794.21052631583</v>
      </c>
      <c r="L10" s="37"/>
      <c r="M10" s="40">
        <f>IF(J10="","",(K10/J10)/1000)</f>
        <v>0.3898001332445033</v>
      </c>
      <c r="N10" s="36">
        <f>N9</f>
        <v>2010</v>
      </c>
      <c r="O10" s="38">
        <v>2</v>
      </c>
      <c r="P10" s="39">
        <v>1.2148</v>
      </c>
      <c r="Q10" s="39"/>
      <c r="R10" s="41">
        <f>IF(O10="","",(IF(G10="売",H10-P10,P10-H10))*M10*10000000)</f>
        <v>-30794.210526315834</v>
      </c>
      <c r="S10" s="41"/>
      <c r="T10" s="42">
        <f>IF(O10="","",IF(R10&lt;0,J10*(-1),IF(G10="買",(P10-H10)*10000,(H10-P10)*10000)))</f>
        <v>-79.00000000000018</v>
      </c>
      <c r="U10" s="42"/>
      <c r="V10" s="43">
        <f>IF(T10&gt;0,T10/J10,0)</f>
        <v>0</v>
      </c>
    </row>
    <row r="11" spans="2:22" ht="12.75">
      <c r="B11" s="36">
        <v>3</v>
      </c>
      <c r="C11" s="37">
        <f>IF(R10="","",C10+R10)</f>
        <v>995679.4736842118</v>
      </c>
      <c r="D11" s="37"/>
      <c r="E11" s="36">
        <f>E10</f>
        <v>2010</v>
      </c>
      <c r="F11" s="38">
        <v>3</v>
      </c>
      <c r="G11" s="36" t="s">
        <v>37</v>
      </c>
      <c r="H11" s="39">
        <v>1.2661</v>
      </c>
      <c r="I11" s="39"/>
      <c r="J11" s="36">
        <f>ABS(H11-P11)*10000</f>
        <v>60.00000000000006</v>
      </c>
      <c r="K11" s="37">
        <f>IF(F11="","",C11*L$7)</f>
        <v>29870.384210526354</v>
      </c>
      <c r="L11" s="37"/>
      <c r="M11" s="40">
        <f>IF(J11="","",(K11/J11)/1000)</f>
        <v>0.4978397368421054</v>
      </c>
      <c r="N11" s="36">
        <f>N10</f>
        <v>2010</v>
      </c>
      <c r="O11" s="38">
        <v>3</v>
      </c>
      <c r="P11" s="39">
        <v>1.2721</v>
      </c>
      <c r="Q11" s="39"/>
      <c r="R11" s="41">
        <f>IF(O11="","",(IF(G11="売",H11-P11,P11-H11))*M11*10000000)</f>
        <v>-29870.38421052635</v>
      </c>
      <c r="S11" s="41"/>
      <c r="T11" s="42">
        <f>IF(O11="","",IF(R11&lt;0,J11*(-1),IF(G11="買",(P11-H11)*10000,(H11-P11)*10000)))</f>
        <v>-60.00000000000006</v>
      </c>
      <c r="U11" s="42"/>
      <c r="V11" s="43">
        <f>IF(T11&gt;0,T11/J11,0)</f>
        <v>0</v>
      </c>
    </row>
    <row r="12" spans="2:22" ht="12.75">
      <c r="B12" s="36">
        <v>4</v>
      </c>
      <c r="C12" s="37">
        <f>IF(R11="","",C11+R11)</f>
        <v>965809.0894736855</v>
      </c>
      <c r="D12" s="37"/>
      <c r="E12" s="36">
        <f>E11</f>
        <v>2010</v>
      </c>
      <c r="F12" s="38">
        <v>4</v>
      </c>
      <c r="G12" s="36" t="s">
        <v>37</v>
      </c>
      <c r="H12" s="39">
        <v>1.2930000000000001</v>
      </c>
      <c r="I12" s="39"/>
      <c r="J12" s="36">
        <f>ABS(H12-P12)*10000</f>
        <v>95.99999999999831</v>
      </c>
      <c r="K12" s="37">
        <f>IF(F12="","",C12*L$7)</f>
        <v>28974.272684210562</v>
      </c>
      <c r="L12" s="37"/>
      <c r="M12" s="40">
        <f>IF(J12="","",(K12/J12)/1000)</f>
        <v>0.301815340460532</v>
      </c>
      <c r="N12" s="36">
        <f>N11</f>
        <v>2010</v>
      </c>
      <c r="O12" s="38">
        <v>4</v>
      </c>
      <c r="P12" s="39">
        <v>1.3026</v>
      </c>
      <c r="Q12" s="39"/>
      <c r="R12" s="41">
        <f>IF(O12="","",(IF(G12="売",H12-P12,P12-H12))*M12*10000000)</f>
        <v>-28974.27268421056</v>
      </c>
      <c r="S12" s="41"/>
      <c r="T12" s="42">
        <f>IF(O12="","",IF(R12&lt;0,J12*(-1),IF(G12="買",(P12-H12)*10000,(H12-P12)*10000)))</f>
        <v>-95.99999999999831</v>
      </c>
      <c r="U12" s="42"/>
      <c r="V12" s="43">
        <f>IF(T12&gt;0,T12/J12,0)</f>
        <v>0</v>
      </c>
    </row>
    <row r="13" spans="2:22" ht="12.75">
      <c r="B13" s="36">
        <v>5</v>
      </c>
      <c r="C13" s="37">
        <f>IF(R12="","",C12+R12)</f>
        <v>936834.8167894749</v>
      </c>
      <c r="D13" s="37"/>
      <c r="E13" s="36">
        <f>E12</f>
        <v>2010</v>
      </c>
      <c r="F13" s="38">
        <v>5</v>
      </c>
      <c r="G13" s="36" t="s">
        <v>36</v>
      </c>
      <c r="H13" s="39">
        <v>1.2772999999999999</v>
      </c>
      <c r="I13" s="39"/>
      <c r="J13" s="36">
        <f>ABS(H13-P13)*10000</f>
        <v>38.999999999997925</v>
      </c>
      <c r="K13" s="37">
        <f>IF(F13="","",C13*L$7)</f>
        <v>28105.044503684247</v>
      </c>
      <c r="L13" s="37"/>
      <c r="M13" s="40">
        <f>IF(J13="","",(K13/J13)/1000)</f>
        <v>0.7206421667611729</v>
      </c>
      <c r="N13" s="36">
        <f>N12</f>
        <v>2010</v>
      </c>
      <c r="O13" s="38">
        <v>5</v>
      </c>
      <c r="P13" s="36">
        <v>1.2734</v>
      </c>
      <c r="Q13" s="36"/>
      <c r="R13" s="41">
        <f>IF(O13="","",(IF(G13="売",H13-P13,P13-H13))*M13*10000000)</f>
        <v>-28105.044503684247</v>
      </c>
      <c r="S13" s="41"/>
      <c r="T13" s="42">
        <f>IF(O13="","",IF(R13&lt;0,J13*(-1),IF(G13="買",(P13-H13)*10000,(H13-P13)*10000)))</f>
        <v>-38.999999999997925</v>
      </c>
      <c r="U13" s="42"/>
      <c r="V13" s="43">
        <f>IF(T13&gt;0,T13/J13,0)</f>
        <v>0</v>
      </c>
    </row>
    <row r="14" spans="2:22" ht="12.75">
      <c r="B14" s="36">
        <v>6</v>
      </c>
      <c r="C14" s="37">
        <f>IF(R13="","",C13+R13)</f>
        <v>908729.7722857906</v>
      </c>
      <c r="D14" s="37"/>
      <c r="E14" s="36">
        <f>E13</f>
        <v>2010</v>
      </c>
      <c r="F14" s="38">
        <v>6</v>
      </c>
      <c r="G14" s="36" t="s">
        <v>37</v>
      </c>
      <c r="H14" s="39">
        <v>1.3446</v>
      </c>
      <c r="I14" s="39"/>
      <c r="J14" s="36">
        <f>ABS(H14-P14)*10000</f>
        <v>58.00000000000027</v>
      </c>
      <c r="K14" s="37">
        <f>IF(F14="","",C14*L$7)</f>
        <v>27261.89316857372</v>
      </c>
      <c r="L14" s="37"/>
      <c r="M14" s="40">
        <f>IF(J14="","",(K14/J14)/1000)</f>
        <v>0.4700326408374757</v>
      </c>
      <c r="N14" s="36">
        <f>N13</f>
        <v>2010</v>
      </c>
      <c r="O14" s="38">
        <v>6</v>
      </c>
      <c r="P14" s="36">
        <v>1.3504</v>
      </c>
      <c r="Q14" s="36"/>
      <c r="R14" s="41">
        <f>IF(O14="","",(IF(G14="売",H14-P14,P14-H14))*M14*10000000)</f>
        <v>-27261.89316857372</v>
      </c>
      <c r="S14" s="41"/>
      <c r="T14" s="42">
        <f>IF(O14="","",IF(R14&lt;0,J14*(-1),IF(G14="買",(P14-H14)*10000,(H14-P14)*10000)))</f>
        <v>-58.00000000000027</v>
      </c>
      <c r="U14" s="42"/>
      <c r="V14" s="43">
        <f>IF(T14&gt;0,T14/J14,0)</f>
        <v>0</v>
      </c>
    </row>
    <row r="15" spans="2:22" ht="12.75">
      <c r="B15" s="36">
        <v>7</v>
      </c>
      <c r="C15" s="37">
        <f>IF(R14="","",C14+R14)</f>
        <v>881467.8791172169</v>
      </c>
      <c r="D15" s="37"/>
      <c r="E15" s="36">
        <f>E14</f>
        <v>2010</v>
      </c>
      <c r="F15" s="38">
        <v>7</v>
      </c>
      <c r="G15" s="36" t="s">
        <v>37</v>
      </c>
      <c r="H15" s="39">
        <v>1.4029</v>
      </c>
      <c r="I15" s="39"/>
      <c r="J15" s="36">
        <f>ABS(H15-P15)*10000</f>
        <v>121</v>
      </c>
      <c r="K15" s="37">
        <f>IF(F15="","",C15*L$7)</f>
        <v>26444.036373516505</v>
      </c>
      <c r="L15" s="37"/>
      <c r="M15" s="40">
        <f>IF(J15="","",(K15/J15)/1000)</f>
        <v>0.218545755153029</v>
      </c>
      <c r="N15" s="36">
        <f>N14</f>
        <v>2010</v>
      </c>
      <c r="O15" s="38">
        <v>7</v>
      </c>
      <c r="P15" s="39">
        <v>1.415</v>
      </c>
      <c r="Q15" s="39"/>
      <c r="R15" s="41">
        <f>IF(O15="","",(IF(G15="売",H15-P15,P15-H15))*M15*10000000)</f>
        <v>-26444.03637351651</v>
      </c>
      <c r="S15" s="41"/>
      <c r="T15" s="42">
        <f>IF(O15="","",IF(R15&lt;0,J15*(-1),IF(G15="買",(P15-H15)*10000,(H15-P15)*10000)))</f>
        <v>-121</v>
      </c>
      <c r="U15" s="42"/>
      <c r="V15" s="43">
        <f>IF(T15&gt;0,T15/J15,0)</f>
        <v>0</v>
      </c>
    </row>
    <row r="16" spans="2:22" ht="12.75">
      <c r="B16" s="36">
        <v>8</v>
      </c>
      <c r="C16" s="37">
        <f>IF(R15="","",C15+R15)</f>
        <v>855023.8427437004</v>
      </c>
      <c r="D16" s="37"/>
      <c r="E16" s="36">
        <f>E15</f>
        <v>2010</v>
      </c>
      <c r="F16" s="38">
        <v>8</v>
      </c>
      <c r="G16" s="36" t="s">
        <v>36</v>
      </c>
      <c r="H16" s="36">
        <v>1.3622</v>
      </c>
      <c r="I16" s="36"/>
      <c r="J16" s="36">
        <f>ABS(H16-P16)*10000</f>
        <v>62.00000000000205</v>
      </c>
      <c r="K16" s="37">
        <f>IF(F16="","",C16*L$7)</f>
        <v>25650.715282311012</v>
      </c>
      <c r="L16" s="37"/>
      <c r="M16" s="40">
        <f>IF(J16="","",(K16/J16)/1000)</f>
        <v>0.4137212142308091</v>
      </c>
      <c r="N16" s="36">
        <f>N15</f>
        <v>2010</v>
      </c>
      <c r="O16" s="38">
        <v>8</v>
      </c>
      <c r="P16" s="36">
        <v>1.3559999999999999</v>
      </c>
      <c r="Q16" s="36"/>
      <c r="R16" s="41">
        <f>IF(O16="","",(IF(G16="売",H16-P16,P16-H16))*M16*10000000)</f>
        <v>-25650.715282311012</v>
      </c>
      <c r="S16" s="41"/>
      <c r="T16" s="42">
        <f>IF(O16="","",IF(R16&lt;0,J16*(-1),IF(G16="買",(P16-H16)*10000,(H16-P16)*10000)))</f>
        <v>-62.00000000000205</v>
      </c>
      <c r="U16" s="42"/>
      <c r="V16" s="43">
        <f>IF(T16&gt;0,T16/J16,0)</f>
        <v>0</v>
      </c>
    </row>
    <row r="17" spans="2:22" ht="12.75">
      <c r="B17" s="36">
        <v>9</v>
      </c>
      <c r="C17" s="37">
        <f>IF(R16="","",C16+R16)</f>
        <v>829373.1274613894</v>
      </c>
      <c r="D17" s="37"/>
      <c r="E17" s="36">
        <f>E16</f>
        <v>2010</v>
      </c>
      <c r="F17" s="38">
        <v>9</v>
      </c>
      <c r="G17" s="36" t="s">
        <v>36</v>
      </c>
      <c r="H17" s="36">
        <v>1.3045</v>
      </c>
      <c r="I17" s="36"/>
      <c r="J17" s="36">
        <f>ABS(H17-1.2969)*10000</f>
        <v>76.00000000000051</v>
      </c>
      <c r="K17" s="37">
        <f>IF(F17="","",C17*L$7)</f>
        <v>24881.19382384168</v>
      </c>
      <c r="L17" s="37"/>
      <c r="M17" s="40">
        <f>IF(J17="","",(K17/J17)/1000)</f>
        <v>0.3273841292610725</v>
      </c>
      <c r="N17" s="36">
        <f>N16</f>
        <v>2010</v>
      </c>
      <c r="O17" s="38">
        <v>9</v>
      </c>
      <c r="P17" s="36">
        <v>1.32789</v>
      </c>
      <c r="Q17" s="36"/>
      <c r="R17" s="41">
        <f>IF(O17="","",(IF(G17="売",H17-P17,P17-H17))*M17*10000000)</f>
        <v>76575.14783416493</v>
      </c>
      <c r="S17" s="41"/>
      <c r="T17" s="42">
        <f>IF(O17="","",IF(R17&lt;0,J17*(-1),IF(G17="買",(P17-H17)*10000,(H17-P17)*10000)))</f>
        <v>233.9000000000002</v>
      </c>
      <c r="U17" s="42"/>
      <c r="V17" s="43">
        <f>IF(T17&gt;0,T17/J17,0)</f>
        <v>3.0776315789473503</v>
      </c>
    </row>
    <row r="18" spans="2:22" ht="12.75">
      <c r="B18" s="36">
        <v>10</v>
      </c>
      <c r="C18" s="37">
        <f>IF(R17="","",C17+R17)</f>
        <v>905948.2752955543</v>
      </c>
      <c r="D18" s="37"/>
      <c r="E18" s="36">
        <f>E17</f>
        <v>2010</v>
      </c>
      <c r="F18" s="38">
        <v>10</v>
      </c>
      <c r="G18" s="36" t="s">
        <v>37</v>
      </c>
      <c r="H18" s="39">
        <v>1.3823</v>
      </c>
      <c r="I18" s="39"/>
      <c r="J18" s="36">
        <f>ABS(H18-P18)*10000</f>
        <v>30.999999999998806</v>
      </c>
      <c r="K18" s="37">
        <f>IF(F18="","",C18*L$7)</f>
        <v>27178.44825886663</v>
      </c>
      <c r="L18" s="37"/>
      <c r="M18" s="40">
        <f>IF(J18="","",(K18/J18)/1000)</f>
        <v>0.8767241373828282</v>
      </c>
      <c r="N18" s="36">
        <f>N17</f>
        <v>2010</v>
      </c>
      <c r="O18" s="38">
        <v>10</v>
      </c>
      <c r="P18" s="36">
        <v>1.3854</v>
      </c>
      <c r="Q18" s="36"/>
      <c r="R18" s="41">
        <f>IF(O18="","",(IF(G18="売",H18-P18,P18-H18))*M18*10000000)</f>
        <v>-27178.448258866625</v>
      </c>
      <c r="S18" s="41"/>
      <c r="T18" s="42">
        <f>IF(O18="","",IF(R18&lt;0,J18*(-1),IF(G18="買",(P18-H18)*10000,(H18-P18)*10000)))</f>
        <v>-30.999999999998806</v>
      </c>
      <c r="U18" s="42"/>
      <c r="V18" s="43">
        <f>IF(T18&gt;0,T18/J18,0)</f>
        <v>0</v>
      </c>
    </row>
    <row r="19" spans="2:22" ht="12.75">
      <c r="B19" s="36">
        <v>11</v>
      </c>
      <c r="C19" s="37">
        <f>IF(R18="","",C18+R18)</f>
        <v>878769.8270366876</v>
      </c>
      <c r="D19" s="37"/>
      <c r="E19" s="36">
        <f>E18</f>
        <v>2010</v>
      </c>
      <c r="F19" s="38">
        <v>11</v>
      </c>
      <c r="G19" s="36" t="s">
        <v>37</v>
      </c>
      <c r="H19" s="36">
        <v>1.44725</v>
      </c>
      <c r="I19" s="36"/>
      <c r="J19" s="36">
        <f>ABS(H19-1.45193)*10000</f>
        <v>46.800000000000175</v>
      </c>
      <c r="K19" s="37">
        <f>IF(F19="","",C19*L$7)</f>
        <v>26363.09481110063</v>
      </c>
      <c r="L19" s="37"/>
      <c r="M19" s="40">
        <f>IF(J19="","",(K19/J19)/1000)</f>
        <v>0.5633139916901824</v>
      </c>
      <c r="N19" s="36">
        <f>N18</f>
        <v>2010</v>
      </c>
      <c r="O19" s="38">
        <v>11</v>
      </c>
      <c r="P19" s="36">
        <v>1.43286</v>
      </c>
      <c r="Q19" s="36"/>
      <c r="R19" s="41">
        <f>IF(O19="","",(IF(G19="売",H19-P19,P19-H19))*M19*10000000)</f>
        <v>81060.88340421669</v>
      </c>
      <c r="S19" s="41"/>
      <c r="T19" s="42">
        <f>IF(O19="","",IF(R19&lt;0,J19*(-1),IF(G19="買",(P19-H19)*10000,(H19-P19)*10000)))</f>
        <v>143.89999999999904</v>
      </c>
      <c r="U19" s="42"/>
      <c r="V19" s="43">
        <f>IF(T19&gt;0,T19/J19,0)</f>
        <v>3.074786324786293</v>
      </c>
    </row>
    <row r="20" spans="2:22" ht="12.75">
      <c r="B20" s="36">
        <v>12</v>
      </c>
      <c r="C20" s="37">
        <f>IF(R19="","",C19+R19)</f>
        <v>959830.7104409044</v>
      </c>
      <c r="D20" s="37"/>
      <c r="E20" s="36">
        <f>E19</f>
        <v>2010</v>
      </c>
      <c r="F20" s="38">
        <v>12</v>
      </c>
      <c r="G20" s="36" t="s">
        <v>37</v>
      </c>
      <c r="H20" s="36">
        <v>1.48255</v>
      </c>
      <c r="I20" s="36"/>
      <c r="J20" s="36">
        <f>ABS(H20-1.49385)*10000</f>
        <v>113.00000000000088</v>
      </c>
      <c r="K20" s="37">
        <f>IF(F20="","",C20*L$7)</f>
        <v>28794.92131322713</v>
      </c>
      <c r="L20" s="37"/>
      <c r="M20" s="40">
        <f>IF(J20="","",(K20/J20)/1000)</f>
        <v>0.2548223125064328</v>
      </c>
      <c r="N20" s="36">
        <f>N19</f>
        <v>2010</v>
      </c>
      <c r="O20" s="38">
        <v>12</v>
      </c>
      <c r="P20" s="36">
        <v>1.46388</v>
      </c>
      <c r="Q20" s="36"/>
      <c r="R20" s="41">
        <f>IF(O20="","",(IF(G20="売",H20-P20,P20-H20))*M20*10000000)</f>
        <v>47575.32574495091</v>
      </c>
      <c r="S20" s="41"/>
      <c r="T20" s="42">
        <f>IF(O20="","",IF(R20&lt;0,J20*(-1),IF(G20="買",(P20-H20)*10000,(H20-P20)*10000)))</f>
        <v>186.69999999999965</v>
      </c>
      <c r="U20" s="42"/>
      <c r="V20" s="43">
        <f>IF(T20&gt;0,T20/J20,0)</f>
        <v>1.652212389380515</v>
      </c>
    </row>
    <row r="21" spans="2:22" ht="12.75">
      <c r="B21" s="36">
        <v>13</v>
      </c>
      <c r="C21" s="37">
        <f>IF(R20="","",C20+R20)</f>
        <v>1007406.0361858553</v>
      </c>
      <c r="D21" s="37"/>
      <c r="E21" s="36">
        <f>E20</f>
        <v>2010</v>
      </c>
      <c r="F21" s="38">
        <v>13</v>
      </c>
      <c r="G21" s="36" t="s">
        <v>36</v>
      </c>
      <c r="H21" s="36">
        <v>1.40869</v>
      </c>
      <c r="I21" s="36"/>
      <c r="J21" s="36">
        <f>ABS(H21-P21)*10000</f>
        <v>39.09999999999858</v>
      </c>
      <c r="K21" s="37">
        <f>IF(F21="","",C21*L$7)</f>
        <v>30222.181085575656</v>
      </c>
      <c r="L21" s="37"/>
      <c r="M21" s="40">
        <f>IF(J21="","",(K21/J21)/1000)</f>
        <v>0.7729458078152622</v>
      </c>
      <c r="N21" s="36">
        <f>N20</f>
        <v>2010</v>
      </c>
      <c r="O21" s="38">
        <v>13</v>
      </c>
      <c r="P21" s="36">
        <v>1.4047800000000001</v>
      </c>
      <c r="Q21" s="36"/>
      <c r="R21" s="41">
        <f>IF(O21="","",(IF(G21="売",H21-P21,P21-H21))*M21*10000000)</f>
        <v>-30222.181085575656</v>
      </c>
      <c r="S21" s="41"/>
      <c r="T21" s="42">
        <f>IF(O21="","",IF(R21&lt;0,J21*(-1),IF(G21="買",(P21-H21)*10000,(H21-P21)*10000)))</f>
        <v>-39.09999999999858</v>
      </c>
      <c r="U21" s="42"/>
      <c r="V21" s="43">
        <f>IF(T21&gt;0,T21/J21,0)</f>
        <v>0</v>
      </c>
    </row>
    <row r="22" spans="2:22" ht="12.75">
      <c r="B22" s="36">
        <v>14</v>
      </c>
      <c r="C22" s="37">
        <f>IF(R21="","",C21+R21)</f>
        <v>977183.8551002797</v>
      </c>
      <c r="D22" s="37"/>
      <c r="E22" s="36">
        <f>E21</f>
        <v>2010</v>
      </c>
      <c r="F22" s="38">
        <v>14</v>
      </c>
      <c r="G22" s="36" t="s">
        <v>37</v>
      </c>
      <c r="H22" s="36">
        <v>1.45328</v>
      </c>
      <c r="I22" s="36"/>
      <c r="J22" s="36">
        <f>ABS(H22-1.45769)*10000</f>
        <v>44.10000000000025</v>
      </c>
      <c r="K22" s="37">
        <f>IF(F22="","",C22*L$7)</f>
        <v>29315.515653008388</v>
      </c>
      <c r="L22" s="37"/>
      <c r="M22" s="40">
        <f>IF(J22="","",(K22/J22)/1000)</f>
        <v>0.6647509218369211</v>
      </c>
      <c r="N22" s="36">
        <f>N21</f>
        <v>2010</v>
      </c>
      <c r="O22" s="38">
        <v>14</v>
      </c>
      <c r="P22" s="36">
        <v>1.43955</v>
      </c>
      <c r="Q22" s="36"/>
      <c r="R22" s="41">
        <f>IF(O22="","",(IF(G22="売",H22-P22,P22-H22))*M22*10000000)</f>
        <v>91270.30156820791</v>
      </c>
      <c r="S22" s="41"/>
      <c r="T22" s="42">
        <f>IF(O22="","",IF(R22&lt;0,J22*(-1),IF(G22="買",(P22-H22)*10000,(H22-P22)*10000)))</f>
        <v>137.29999999999797</v>
      </c>
      <c r="U22" s="42"/>
      <c r="V22" s="43">
        <f>IF(T22&gt;0,T22/J22,0)</f>
        <v>3.1133786848071923</v>
      </c>
    </row>
    <row r="23" spans="2:22" ht="12.75">
      <c r="B23" s="36">
        <v>15</v>
      </c>
      <c r="C23" s="37">
        <f>IF(R22="","",C22+R22)</f>
        <v>1068454.1566684875</v>
      </c>
      <c r="D23" s="37"/>
      <c r="E23" s="36">
        <f>E22</f>
        <v>2010</v>
      </c>
      <c r="F23" s="38">
        <v>15</v>
      </c>
      <c r="G23" s="36" t="s">
        <v>37</v>
      </c>
      <c r="H23" s="36">
        <v>1.44693</v>
      </c>
      <c r="I23" s="36"/>
      <c r="J23" s="36">
        <f>ABS(H23-1.45291)*10000</f>
        <v>59.80000000000096</v>
      </c>
      <c r="K23" s="37">
        <f>IF(F23="","",C23*L$7)</f>
        <v>32053.624700054625</v>
      </c>
      <c r="L23" s="37"/>
      <c r="M23" s="40">
        <f>IF(J23="","",(K23/J23)/1000)</f>
        <v>0.5360137909708045</v>
      </c>
      <c r="N23" s="36">
        <f>N22</f>
        <v>2010</v>
      </c>
      <c r="O23" s="38">
        <v>15</v>
      </c>
      <c r="P23" s="36">
        <v>1.4267400000000001</v>
      </c>
      <c r="Q23" s="36"/>
      <c r="R23" s="41">
        <f>IF(O23="","",(IF(G23="売",H23-P23,P23-H23))*M23*10000000)</f>
        <v>108221.18439700505</v>
      </c>
      <c r="S23" s="41"/>
      <c r="T23" s="42">
        <f>IF(O23="","",IF(R23&lt;0,J23*(-1),IF(G23="買",(P23-H23)*10000,(H23-P23)*10000)))</f>
        <v>201.8999999999993</v>
      </c>
      <c r="U23" s="42"/>
      <c r="V23" s="43">
        <f>IF(T23&gt;0,T23/J23,0)</f>
        <v>3.3762541806019404</v>
      </c>
    </row>
    <row r="24" spans="2:22" ht="12.75">
      <c r="B24" s="36">
        <v>16</v>
      </c>
      <c r="C24" s="37">
        <f>IF(R23="","",C23+R23)</f>
        <v>1176675.3410654925</v>
      </c>
      <c r="D24" s="37"/>
      <c r="E24" s="36">
        <f>E23</f>
        <v>2010</v>
      </c>
      <c r="F24" s="38">
        <v>16</v>
      </c>
      <c r="G24" s="36" t="s">
        <v>36</v>
      </c>
      <c r="H24" s="36">
        <v>1.3477700000000001</v>
      </c>
      <c r="I24" s="36"/>
      <c r="J24" s="36">
        <f>ABS(H24-1.33624)*10000</f>
        <v>115.30000000000041</v>
      </c>
      <c r="K24" s="37">
        <f>IF(F24="","",C24*L$7)</f>
        <v>35300.26023196477</v>
      </c>
      <c r="L24" s="37"/>
      <c r="M24" s="40">
        <f>IF(J24="","",(K24/J24)/1000)</f>
        <v>0.3061601060881582</v>
      </c>
      <c r="N24" s="36">
        <f>N23</f>
        <v>2010</v>
      </c>
      <c r="O24" s="38">
        <v>16</v>
      </c>
      <c r="P24" s="36">
        <v>1.35813</v>
      </c>
      <c r="Q24" s="36"/>
      <c r="R24" s="41">
        <f>IF(O24="","",(IF(G24="売",H24-P24,P24-H24))*M24*10000000)</f>
        <v>31718.186990732956</v>
      </c>
      <c r="S24" s="41"/>
      <c r="T24" s="42">
        <f>IF(O24="","",IF(R24&lt;0,J24*(-1),IF(G24="買",(P24-H24)*10000,(H24-P24)*10000)))</f>
        <v>103.59999999999926</v>
      </c>
      <c r="U24" s="42"/>
      <c r="V24" s="43">
        <f>IF(T24&gt;0,T24/J24,0)</f>
        <v>0.8985255854293052</v>
      </c>
    </row>
    <row r="25" spans="2:22" ht="12.75">
      <c r="B25" s="36">
        <v>17</v>
      </c>
      <c r="C25" s="37">
        <f>IF(R24="","",C24+R24)</f>
        <v>1208393.5280562255</v>
      </c>
      <c r="D25" s="37"/>
      <c r="E25" s="36">
        <f>E24</f>
        <v>2010</v>
      </c>
      <c r="F25" s="38">
        <v>17</v>
      </c>
      <c r="G25" s="36" t="s">
        <v>37</v>
      </c>
      <c r="H25" s="36">
        <v>1.38437</v>
      </c>
      <c r="I25" s="36"/>
      <c r="J25" s="36">
        <f>ABS(H25-P25)*10000</f>
        <v>42.800000000000615</v>
      </c>
      <c r="K25" s="37">
        <f>IF(F25="","",C25*L$7)</f>
        <v>36251.805841686764</v>
      </c>
      <c r="L25" s="37"/>
      <c r="M25" s="40">
        <f>IF(J25="","",(K25/J25)/1000)</f>
        <v>0.8470048093851926</v>
      </c>
      <c r="N25" s="36">
        <f>N24</f>
        <v>2010</v>
      </c>
      <c r="O25" s="38">
        <v>17</v>
      </c>
      <c r="P25" s="36">
        <v>1.3886500000000002</v>
      </c>
      <c r="Q25" s="36"/>
      <c r="R25" s="41">
        <f>IF(O25="","",(IF(G25="売",H25-P25,P25-H25))*M25*10000000)</f>
        <v>-36251.805841686764</v>
      </c>
      <c r="S25" s="41"/>
      <c r="T25" s="42">
        <f>IF(O25="","",IF(R25&lt;0,J25*(-1),IF(G25="買",(P25-H25)*10000,(H25-P25)*10000)))</f>
        <v>-42.800000000000615</v>
      </c>
      <c r="U25" s="42"/>
      <c r="V25" s="43">
        <f>IF(T25&gt;0,T25/J25,0)</f>
        <v>0</v>
      </c>
    </row>
    <row r="26" spans="2:22" ht="12.75">
      <c r="B26" s="36">
        <v>18</v>
      </c>
      <c r="C26" s="37">
        <f>IF(R25="","",C25+R25)</f>
        <v>1172141.7222145388</v>
      </c>
      <c r="D26" s="37"/>
      <c r="E26" s="36">
        <f>E25</f>
        <v>2010</v>
      </c>
      <c r="F26" s="38">
        <v>18</v>
      </c>
      <c r="G26" s="36" t="s">
        <v>37</v>
      </c>
      <c r="H26" s="36">
        <v>1.38365</v>
      </c>
      <c r="I26" s="36"/>
      <c r="J26" s="36">
        <f>ABS(H26-P26)*10000</f>
        <v>77.19999999999949</v>
      </c>
      <c r="K26" s="37">
        <f>IF(F26="","",C26*L$7)</f>
        <v>35164.25166643616</v>
      </c>
      <c r="L26" s="37"/>
      <c r="M26" s="40">
        <f>IF(J26="","",(K26/J26)/1000)</f>
        <v>0.4554954879072072</v>
      </c>
      <c r="N26" s="36">
        <f>N25</f>
        <v>2010</v>
      </c>
      <c r="O26" s="38">
        <v>18</v>
      </c>
      <c r="P26" s="36">
        <v>1.39137</v>
      </c>
      <c r="Q26" s="36"/>
      <c r="R26" s="41">
        <f>IF(O26="","",(IF(G26="売",H26-P26,P26-H26))*M26*10000000)</f>
        <v>-35164.25166643616</v>
      </c>
      <c r="S26" s="41"/>
      <c r="T26" s="42">
        <f>IF(O26="","",IF(R26&lt;0,J26*(-1),IF(G26="買",(P26-H26)*10000,(H26-P26)*10000)))</f>
        <v>-77.19999999999949</v>
      </c>
      <c r="U26" s="42"/>
      <c r="V26" s="43">
        <f>IF(T26&gt;0,T26/J26,0)</f>
        <v>0</v>
      </c>
    </row>
    <row r="27" spans="2:22" ht="12.75">
      <c r="B27" s="36">
        <v>19</v>
      </c>
      <c r="C27" s="37">
        <f>IF(R26="","",C26+R26)</f>
        <v>1136977.4705481026</v>
      </c>
      <c r="D27" s="37"/>
      <c r="E27" s="36">
        <f>E26</f>
        <v>2010</v>
      </c>
      <c r="F27" s="38">
        <v>19</v>
      </c>
      <c r="G27" s="36" t="s">
        <v>37</v>
      </c>
      <c r="H27" s="36">
        <v>1.2992</v>
      </c>
      <c r="I27" s="36"/>
      <c r="J27" s="36">
        <f>ABS(H27-P27)*10000</f>
        <v>71.00000000000107</v>
      </c>
      <c r="K27" s="37">
        <f>IF(F27="","",C27*L$7)</f>
        <v>34109.32411644308</v>
      </c>
      <c r="L27" s="37"/>
      <c r="M27" s="40">
        <f>IF(J27="","",(K27/J27)/1000)</f>
        <v>0.4804130157245432</v>
      </c>
      <c r="N27" s="36">
        <f>N26</f>
        <v>2010</v>
      </c>
      <c r="O27" s="38">
        <v>19</v>
      </c>
      <c r="P27" s="36">
        <v>1.3063</v>
      </c>
      <c r="Q27" s="36"/>
      <c r="R27" s="41">
        <f>IF(O27="","",(IF(G27="売",H27-P27,P27-H27))*M27*10000000)</f>
        <v>-34109.32411644308</v>
      </c>
      <c r="S27" s="41"/>
      <c r="T27" s="42">
        <f>IF(O27="","",IF(R27&lt;0,J27*(-1),IF(G27="買",(P27-H27)*10000,(H27-P27)*10000)))</f>
        <v>-71.00000000000107</v>
      </c>
      <c r="U27" s="42"/>
      <c r="V27" s="43">
        <f>IF(T27&gt;0,T27/J27,0)</f>
        <v>0</v>
      </c>
    </row>
    <row r="28" spans="2:22" ht="12.75">
      <c r="B28" s="36">
        <v>20</v>
      </c>
      <c r="C28" s="37">
        <f>IF(R27="","",C27+R27)</f>
        <v>1102868.1464316596</v>
      </c>
      <c r="D28" s="37"/>
      <c r="E28" s="36">
        <f>E27</f>
        <v>2010</v>
      </c>
      <c r="F28" s="38">
        <v>20</v>
      </c>
      <c r="G28" s="36" t="s">
        <v>37</v>
      </c>
      <c r="H28" s="36">
        <v>1.3172000000000001</v>
      </c>
      <c r="I28" s="36"/>
      <c r="J28" s="36">
        <f>ABS(H28-P28)*10000</f>
        <v>48.99999999999905</v>
      </c>
      <c r="K28" s="37">
        <f>IF(F28="","",C28*L$7)</f>
        <v>33086.044392949785</v>
      </c>
      <c r="L28" s="37"/>
      <c r="M28" s="40">
        <f>IF(J28="","",(K28/J28)/1000)</f>
        <v>0.6752253957744986</v>
      </c>
      <c r="N28" s="36">
        <f>N27</f>
        <v>2010</v>
      </c>
      <c r="O28" s="38">
        <v>20</v>
      </c>
      <c r="P28" s="36">
        <v>1.3221</v>
      </c>
      <c r="Q28" s="36"/>
      <c r="R28" s="41">
        <f>IF(O28="","",(IF(G28="売",H28-P28,P28-H28))*M28*10000000)</f>
        <v>-33086.044392949785</v>
      </c>
      <c r="S28" s="41"/>
      <c r="T28" s="42">
        <f>IF(O28="","",IF(R28&lt;0,J28*(-1),IF(G28="買",(P28-H28)*10000,(H28-P28)*10000)))</f>
        <v>-48.99999999999905</v>
      </c>
      <c r="U28" s="42"/>
      <c r="V28" s="43">
        <f>IF(T28&gt;0,T28/J28,0)</f>
        <v>0</v>
      </c>
    </row>
    <row r="29" spans="2:22" ht="12.75">
      <c r="B29" s="36">
        <v>21</v>
      </c>
      <c r="C29" s="37">
        <f>IF(R28="","",C28+R28)</f>
        <v>1069782.10203871</v>
      </c>
      <c r="D29" s="37"/>
      <c r="E29" s="36">
        <f>E28</f>
        <v>2010</v>
      </c>
      <c r="F29" s="38">
        <v>21</v>
      </c>
      <c r="G29" s="36" t="s">
        <v>37</v>
      </c>
      <c r="H29" s="36">
        <v>1.3466</v>
      </c>
      <c r="I29" s="36"/>
      <c r="J29" s="36">
        <f>ABS(H29-1.3487)*10000</f>
        <v>20.999999999999908</v>
      </c>
      <c r="K29" s="37">
        <f>IF(F29="","",C29*L$7)</f>
        <v>32093.463061161296</v>
      </c>
      <c r="L29" s="37"/>
      <c r="M29" s="40">
        <f>IF(J29="","",(K29/J29)/1000)</f>
        <v>1.5282601457695923</v>
      </c>
      <c r="N29" s="36">
        <f>N28</f>
        <v>2010</v>
      </c>
      <c r="O29" s="38">
        <v>21</v>
      </c>
      <c r="P29" s="36">
        <v>1.32904</v>
      </c>
      <c r="Q29" s="36"/>
      <c r="R29" s="41">
        <f>IF(O29="","",(IF(G29="売",H29-P29,P29-H29))*M29*10000000)</f>
        <v>268362.4815971407</v>
      </c>
      <c r="S29" s="41"/>
      <c r="T29" s="42">
        <f>IF(O29="","",IF(R29&lt;0,J29*(-1),IF(G29="買",(P29-H29)*10000,(H29-P29)*10000)))</f>
        <v>175.6000000000002</v>
      </c>
      <c r="U29" s="42"/>
      <c r="V29" s="43">
        <f>IF(T29&gt;0,T29/J29,0)</f>
        <v>8.361904761904809</v>
      </c>
    </row>
    <row r="30" spans="2:22" ht="12.75">
      <c r="B30" s="36">
        <v>22</v>
      </c>
      <c r="C30" s="37">
        <f>IF(R29="","",C29+R29)</f>
        <v>1338144.5836358506</v>
      </c>
      <c r="D30" s="37"/>
      <c r="E30" s="36">
        <f>E29</f>
        <v>2010</v>
      </c>
      <c r="F30" s="38">
        <v>22</v>
      </c>
      <c r="G30" s="36" t="s">
        <v>36</v>
      </c>
      <c r="H30" s="36">
        <v>1.24543</v>
      </c>
      <c r="I30" s="36"/>
      <c r="J30" s="36">
        <f>ABS(H30-1.22862)*10000</f>
        <v>168.0999999999999</v>
      </c>
      <c r="K30" s="37">
        <f>IF(F30="","",C30*L$7)</f>
        <v>40144.337509075514</v>
      </c>
      <c r="L30" s="37"/>
      <c r="M30" s="40">
        <f>IF(J30="","",(K30/J30)/1000)</f>
        <v>0.23881223979223995</v>
      </c>
      <c r="N30" s="36">
        <f>N29</f>
        <v>2010</v>
      </c>
      <c r="O30" s="38">
        <v>22</v>
      </c>
      <c r="P30" s="36">
        <v>1.2665600000000001</v>
      </c>
      <c r="Q30" s="36"/>
      <c r="R30" s="41">
        <f>IF(O30="","",(IF(G30="売",H30-P30,P30-H30))*M30*10000000)</f>
        <v>50461.02626810052</v>
      </c>
      <c r="S30" s="41"/>
      <c r="T30" s="42">
        <f>IF(O30="","",IF(R30&lt;0,J30*(-1),IF(G30="買",(P30-H30)*10000,(H30-P30)*10000)))</f>
        <v>211.30000000000092</v>
      </c>
      <c r="U30" s="42"/>
      <c r="V30" s="43">
        <f>IF(T30&gt;0,T30/J30,0)</f>
        <v>1.2569898869720466</v>
      </c>
    </row>
    <row r="31" spans="2:22" ht="12.75">
      <c r="B31" s="36">
        <v>23</v>
      </c>
      <c r="C31" s="37">
        <f>IF(R30="","",C30+R30)</f>
        <v>1388605.6099039512</v>
      </c>
      <c r="D31" s="37"/>
      <c r="E31" s="36">
        <f>E30</f>
        <v>2010</v>
      </c>
      <c r="F31" s="38">
        <v>23</v>
      </c>
      <c r="G31" s="36" t="s">
        <v>37</v>
      </c>
      <c r="H31" s="36">
        <v>1.32621</v>
      </c>
      <c r="I31" s="36"/>
      <c r="J31" s="36">
        <f>ABS(H31-1.34158)*10000</f>
        <v>153.69999999999885</v>
      </c>
      <c r="K31" s="37">
        <f>IF(F31="","",C31*L$7)</f>
        <v>41658.16829711854</v>
      </c>
      <c r="L31" s="37"/>
      <c r="M31" s="40">
        <f>IF(J31="","",(K31/J31)/1000)</f>
        <v>0.2710355777301161</v>
      </c>
      <c r="N31" s="36">
        <f>N30</f>
        <v>2010</v>
      </c>
      <c r="O31" s="38">
        <v>23</v>
      </c>
      <c r="P31" s="36">
        <v>1.31942</v>
      </c>
      <c r="Q31" s="36"/>
      <c r="R31" s="41">
        <f>IF(O31="","",(IF(G31="売",H31-P31,P31-H31))*M31*10000000)</f>
        <v>18403.315727875084</v>
      </c>
      <c r="S31" s="41"/>
      <c r="T31" s="42">
        <f>IF(O31="","",IF(R31&lt;0,J31*(-1),IF(G31="買",(P31-H31)*10000,(H31-P31)*10000)))</f>
        <v>67.90000000000074</v>
      </c>
      <c r="U31" s="42"/>
      <c r="V31" s="43">
        <f>IF(T31&gt;0,T31/J31,0)</f>
        <v>0.44176968119714544</v>
      </c>
    </row>
    <row r="32" spans="2:22" ht="12.75">
      <c r="B32" s="36">
        <v>24</v>
      </c>
      <c r="C32" s="37">
        <f>IF(R31="","",C31+R31)</f>
        <v>1407008.9256318263</v>
      </c>
      <c r="D32" s="37"/>
      <c r="E32" s="36">
        <f>E31</f>
        <v>2010</v>
      </c>
      <c r="F32" s="38">
        <v>24</v>
      </c>
      <c r="G32" s="36" t="s">
        <v>36</v>
      </c>
      <c r="H32" s="36">
        <v>1.2791700000000001</v>
      </c>
      <c r="I32" s="36"/>
      <c r="J32" s="36">
        <f>ABS(H32-1.27553)*10000</f>
        <v>36.40000000000087</v>
      </c>
      <c r="K32" s="37">
        <f>IF(F32="","",C32*L$7)</f>
        <v>42210.267768954785</v>
      </c>
      <c r="L32" s="37"/>
      <c r="M32" s="40">
        <f>IF(J32="","",(K32/J32)/1000)</f>
        <v>1.1596227409053235</v>
      </c>
      <c r="N32" s="36">
        <f>N31</f>
        <v>2010</v>
      </c>
      <c r="O32" s="38">
        <v>24</v>
      </c>
      <c r="P32" s="36">
        <v>1.30075</v>
      </c>
      <c r="Q32" s="36"/>
      <c r="R32" s="41">
        <f>IF(O32="","",(IF(G32="売",H32-P32,P32-H32))*M32*10000000)</f>
        <v>250246.58748736803</v>
      </c>
      <c r="S32" s="41"/>
      <c r="T32" s="42">
        <f>IF(O32="","",IF(R32&lt;0,J32*(-1),IF(G32="買",(P32-H32)*10000,(H32-P32)*10000)))</f>
        <v>215.79999999999933</v>
      </c>
      <c r="U32" s="42"/>
      <c r="V32" s="43">
        <f>IF(T32&gt;0,T32/J32,0)</f>
        <v>5.928571428571268</v>
      </c>
    </row>
    <row r="33" spans="2:22" ht="12.75">
      <c r="B33" s="36">
        <v>25</v>
      </c>
      <c r="C33" s="37">
        <f>IF(R32="","",C32+R32)</f>
        <v>1657255.5131191942</v>
      </c>
      <c r="D33" s="37"/>
      <c r="E33" s="36">
        <f>E32</f>
        <v>2010</v>
      </c>
      <c r="F33" s="38">
        <v>25</v>
      </c>
      <c r="G33" s="36" t="s">
        <v>36</v>
      </c>
      <c r="H33" s="36">
        <v>1.3544100000000001</v>
      </c>
      <c r="I33" s="36"/>
      <c r="J33" s="36">
        <f>ABS(H33-1.35115)*10000</f>
        <v>32.600000000000406</v>
      </c>
      <c r="K33" s="37">
        <f>IF(F33="","",C33*L$7)</f>
        <v>49717.66539357582</v>
      </c>
      <c r="L33" s="37"/>
      <c r="M33" s="40">
        <f>IF(J33="","",(K33/J33)/1000)</f>
        <v>1.5250817605391167</v>
      </c>
      <c r="N33" s="36">
        <f>N32</f>
        <v>2010</v>
      </c>
      <c r="O33" s="38">
        <v>25</v>
      </c>
      <c r="P33" s="36">
        <v>1.35739</v>
      </c>
      <c r="Q33" s="36"/>
      <c r="R33" s="41">
        <f>IF(O33="","",(IF(G33="売",H33-P33,P33-H33))*M33*10000000)</f>
        <v>45447.43646406542</v>
      </c>
      <c r="S33" s="41"/>
      <c r="T33" s="42">
        <f>IF(O33="","",IF(R33&lt;0,J33*(-1),IF(G33="買",(P33-H33)*10000,(H33-P33)*10000)))</f>
        <v>29.799999999999827</v>
      </c>
      <c r="U33" s="42"/>
      <c r="V33" s="43">
        <f>IF(T33&gt;0,T33/J33,0)</f>
        <v>0.914110429447836</v>
      </c>
    </row>
    <row r="34" spans="2:22" ht="12.75">
      <c r="B34" s="36">
        <v>26</v>
      </c>
      <c r="C34" s="37">
        <f>IF(R33="","",C33+R33)</f>
        <v>1702702.9495832596</v>
      </c>
      <c r="D34" s="37"/>
      <c r="E34" s="36">
        <f>E33</f>
        <v>2010</v>
      </c>
      <c r="F34" s="38">
        <v>26</v>
      </c>
      <c r="G34" s="36" t="s">
        <v>36</v>
      </c>
      <c r="H34" s="36">
        <v>1.33822</v>
      </c>
      <c r="I34" s="36"/>
      <c r="J34" s="36">
        <f>ABS(H34-P34)*10000</f>
        <v>16.199999999999548</v>
      </c>
      <c r="K34" s="37">
        <f>IF(F34="","",C34*L$7)</f>
        <v>51081.088487497786</v>
      </c>
      <c r="L34" s="37"/>
      <c r="M34" s="40">
        <f>IF(J34="","",(K34/J34)/1000)</f>
        <v>3.1531536103394573</v>
      </c>
      <c r="N34" s="36">
        <f>N33</f>
        <v>2010</v>
      </c>
      <c r="O34" s="38">
        <v>26</v>
      </c>
      <c r="P34" s="36">
        <v>1.3366</v>
      </c>
      <c r="Q34" s="36"/>
      <c r="R34" s="41">
        <f>IF(O34="","",(IF(G34="売",H34-P34,P34-H34))*M34*10000000)</f>
        <v>-51081.08848749778</v>
      </c>
      <c r="S34" s="41"/>
      <c r="T34" s="42">
        <f>IF(O34="","",IF(R34&lt;0,J34*(-1),IF(G34="買",(P34-H34)*10000,(H34-P34)*10000)))</f>
        <v>-16.199999999999548</v>
      </c>
      <c r="U34" s="42"/>
      <c r="V34" s="43">
        <f>IF(T34&gt;0,T34/J34,0)</f>
        <v>0</v>
      </c>
    </row>
    <row r="35" spans="2:22" ht="12.75">
      <c r="B35" s="36">
        <v>27</v>
      </c>
      <c r="C35" s="37">
        <f>IF(R34="","",C34+R34)</f>
        <v>1651621.8610957619</v>
      </c>
      <c r="D35" s="37"/>
      <c r="E35" s="36">
        <f>E34</f>
        <v>2010</v>
      </c>
      <c r="F35" s="38">
        <v>27</v>
      </c>
      <c r="G35" s="36" t="s">
        <v>37</v>
      </c>
      <c r="H35" s="36">
        <v>1.12611</v>
      </c>
      <c r="I35" s="36"/>
      <c r="J35" s="36">
        <f>ABS(H35-P35)*10000</f>
        <v>129.90000000000057</v>
      </c>
      <c r="K35" s="37">
        <f>IF(F35="","",C35*L$7)</f>
        <v>49548.65583287286</v>
      </c>
      <c r="L35" s="37"/>
      <c r="M35" s="40">
        <f>IF(J35="","",(K35/J35)/1000)</f>
        <v>0.3814369194216523</v>
      </c>
      <c r="N35" s="36">
        <f>N34</f>
        <v>2010</v>
      </c>
      <c r="O35" s="38">
        <v>27</v>
      </c>
      <c r="P35" s="36">
        <v>1.1391</v>
      </c>
      <c r="Q35" s="36"/>
      <c r="R35" s="41">
        <f>IF(O35="","",(IF(G35="売",H35-P35,P35-H35))*M35*10000000)</f>
        <v>-49548.65583287285</v>
      </c>
      <c r="S35" s="41"/>
      <c r="T35" s="42">
        <f>IF(O35="","",IF(R35&lt;0,J35*(-1),IF(G35="買",(P35-H35)*10000,(H35-P35)*10000)))</f>
        <v>-129.90000000000057</v>
      </c>
      <c r="U35" s="42"/>
      <c r="V35" s="43">
        <f>IF(T35&gt;0,T35/J35,0)</f>
        <v>0</v>
      </c>
    </row>
    <row r="36" spans="2:22" ht="12.75">
      <c r="B36" s="36">
        <v>28</v>
      </c>
      <c r="C36" s="37">
        <f>IF(R35="","",C35+R35)</f>
        <v>1602073.205262889</v>
      </c>
      <c r="D36" s="37"/>
      <c r="E36" s="36">
        <f>E35</f>
        <v>2010</v>
      </c>
      <c r="F36" s="38">
        <v>28</v>
      </c>
      <c r="G36" s="36" t="s">
        <v>37</v>
      </c>
      <c r="H36" s="36">
        <v>1.10099</v>
      </c>
      <c r="I36" s="36"/>
      <c r="J36" s="36">
        <f>ABS(H36-1.10588)*10000</f>
        <v>48.90000000000061</v>
      </c>
      <c r="K36" s="37">
        <f>IF(F36="","",C36*L$7)</f>
        <v>48062.19615788667</v>
      </c>
      <c r="L36" s="37"/>
      <c r="M36" s="40">
        <f>IF(J36="","",(K36/J36)/1000)</f>
        <v>0.9828669970937847</v>
      </c>
      <c r="N36" s="36">
        <f>N35</f>
        <v>2010</v>
      </c>
      <c r="O36" s="38">
        <v>28</v>
      </c>
      <c r="P36" s="36">
        <v>1.08448</v>
      </c>
      <c r="Q36" s="36"/>
      <c r="R36" s="41">
        <f>IF(O36="","",(IF(G36="売",H36-P36,P36-H36))*M36*10000000)</f>
        <v>162271.3412201819</v>
      </c>
      <c r="S36" s="41"/>
      <c r="T36" s="42">
        <f>IF(O36="","",IF(R36&lt;0,J36*(-1),IF(G36="買",(P36-H36)*10000,(H36-P36)*10000)))</f>
        <v>165.09999999999803</v>
      </c>
      <c r="U36" s="42"/>
      <c r="V36" s="43">
        <f>IF(T36&gt;0,T36/J36,0)</f>
        <v>3.3762781186093247</v>
      </c>
    </row>
    <row r="37" spans="2:22" ht="12.75">
      <c r="B37" s="36">
        <v>29</v>
      </c>
      <c r="C37" s="37">
        <f>IF(R36="","",C36+R36)</f>
        <v>1764344.5464830708</v>
      </c>
      <c r="D37" s="37"/>
      <c r="E37" s="36">
        <f>E36</f>
        <v>2010</v>
      </c>
      <c r="F37" s="38">
        <v>29</v>
      </c>
      <c r="G37" s="36" t="s">
        <v>37</v>
      </c>
      <c r="H37" s="36">
        <v>1.13109</v>
      </c>
      <c r="I37" s="36"/>
      <c r="J37" s="36">
        <f>ABS(H37-1.13754)*10000</f>
        <v>64.50000000000067</v>
      </c>
      <c r="K37" s="37">
        <f>IF(F37="","",C37*L$7)</f>
        <v>52930.33639449212</v>
      </c>
      <c r="L37" s="37"/>
      <c r="M37" s="40">
        <f>IF(J37="","",(K37/J37)/1000)</f>
        <v>0.8206253704572336</v>
      </c>
      <c r="N37" s="36">
        <f>N36</f>
        <v>2010</v>
      </c>
      <c r="O37" s="38">
        <v>29</v>
      </c>
      <c r="P37" s="36">
        <v>1.11568</v>
      </c>
      <c r="Q37" s="36"/>
      <c r="R37" s="41">
        <f>IF(O37="","",(IF(G37="売",H37-P37,P37-H37))*M37*10000000)</f>
        <v>126458.36958745908</v>
      </c>
      <c r="S37" s="41"/>
      <c r="T37" s="42">
        <f>IF(O37="","",IF(R37&lt;0,J37*(-1),IF(G37="買",(P37-H37)*10000,(H37-P37)*10000)))</f>
        <v>154.09999999999923</v>
      </c>
      <c r="U37" s="42"/>
      <c r="V37" s="43">
        <f>IF(T37&gt;0,T37/J37,0)</f>
        <v>2.3891472868216685</v>
      </c>
    </row>
    <row r="38" spans="2:22" ht="12.75">
      <c r="B38" s="36">
        <v>30</v>
      </c>
      <c r="C38" s="37">
        <f>IF(R37="","",C37+R37)</f>
        <v>1890802.91607053</v>
      </c>
      <c r="D38" s="37"/>
      <c r="E38" s="36">
        <f>E37</f>
        <v>2010</v>
      </c>
      <c r="F38" s="38">
        <v>30</v>
      </c>
      <c r="G38" s="36" t="s">
        <v>36</v>
      </c>
      <c r="H38" s="36">
        <v>1.0853</v>
      </c>
      <c r="I38" s="36"/>
      <c r="J38" s="36">
        <f>ABS(H38-1.08246)*10000</f>
        <v>28.399999999999537</v>
      </c>
      <c r="K38" s="37">
        <f>IF(F38="","",C38*L$7)</f>
        <v>56724.087482115894</v>
      </c>
      <c r="L38" s="37"/>
      <c r="M38" s="40">
        <f>IF(J38="","",(K38/J38)/1000)</f>
        <v>1.9973270240181977</v>
      </c>
      <c r="N38" s="36">
        <f>N37</f>
        <v>2010</v>
      </c>
      <c r="O38" s="38">
        <v>30</v>
      </c>
      <c r="P38" s="36">
        <v>1.10342</v>
      </c>
      <c r="Q38" s="36"/>
      <c r="R38" s="41">
        <f>IF(O38="","",(IF(G38="売",H38-P38,P38-H38))*M38*10000000)</f>
        <v>361915.65675210016</v>
      </c>
      <c r="S38" s="41"/>
      <c r="T38" s="42">
        <f>IF(O38="","",IF(R38&lt;0,J38*(-1),IF(G38="買",(P38-H38)*10000,(H38-P38)*10000)))</f>
        <v>181.20000000000135</v>
      </c>
      <c r="U38" s="42"/>
      <c r="V38" s="43">
        <f>IF(T38&gt;0,T38/J38,0)</f>
        <v>6.380281690140997</v>
      </c>
    </row>
    <row r="39" spans="2:22" ht="12.75">
      <c r="B39" s="36">
        <v>31</v>
      </c>
      <c r="C39" s="37">
        <f>IF(R38="","",C38+R38)</f>
        <v>2252718.57282263</v>
      </c>
      <c r="D39" s="37"/>
      <c r="E39" s="36">
        <f>E38</f>
        <v>2010</v>
      </c>
      <c r="F39" s="38">
        <v>31</v>
      </c>
      <c r="G39" s="36" t="s">
        <v>37</v>
      </c>
      <c r="H39" s="36">
        <v>1.13591</v>
      </c>
      <c r="I39" s="36"/>
      <c r="J39" s="36">
        <f>ABS(H39-P39)*10000</f>
        <v>94.00000000000075</v>
      </c>
      <c r="K39" s="37">
        <f>IF(F39="","",C39*L$7)</f>
        <v>67581.5571846789</v>
      </c>
      <c r="L39" s="37"/>
      <c r="M39" s="40">
        <f>IF(J39="","",(K39/J39)/1000)</f>
        <v>0.7189527360072165</v>
      </c>
      <c r="N39" s="36">
        <f>N38</f>
        <v>2010</v>
      </c>
      <c r="O39" s="38">
        <v>31</v>
      </c>
      <c r="P39" s="36">
        <v>1.14531</v>
      </c>
      <c r="Q39" s="36"/>
      <c r="R39" s="41">
        <f>IF(O39="","",(IF(G39="売",H39-P39,P39-H39))*M39*10000000)</f>
        <v>-67581.5571846789</v>
      </c>
      <c r="S39" s="41"/>
      <c r="T39" s="42">
        <f>IF(O39="","",IF(R39&lt;0,J39*(-1),IF(G39="買",(P39-H39)*10000,(H39-P39)*10000)))</f>
        <v>-94.00000000000075</v>
      </c>
      <c r="U39" s="42"/>
      <c r="V39" s="43">
        <f>IF(T39&gt;0,T39/J39,0)</f>
        <v>0</v>
      </c>
    </row>
    <row r="40" spans="2:22" ht="12.75">
      <c r="B40" s="36">
        <v>32</v>
      </c>
      <c r="C40" s="37">
        <f>IF(R39="","",C39+R39)</f>
        <v>2185137.015637951</v>
      </c>
      <c r="D40" s="37"/>
      <c r="E40" s="36">
        <f>E39</f>
        <v>2010</v>
      </c>
      <c r="F40" s="38">
        <v>32</v>
      </c>
      <c r="G40" s="36" t="s">
        <v>37</v>
      </c>
      <c r="H40" s="36">
        <v>1.14056</v>
      </c>
      <c r="I40" s="36"/>
      <c r="J40" s="36">
        <f>ABS(H40-1.14639)*10000</f>
        <v>58.30000000000002</v>
      </c>
      <c r="K40" s="37">
        <f>IF(F40="","",C40*L$7)</f>
        <v>65554.11046913853</v>
      </c>
      <c r="L40" s="37"/>
      <c r="M40" s="40">
        <f>IF(J40="","",(K40/J40)/1000)</f>
        <v>1.1244272807742455</v>
      </c>
      <c r="N40" s="36">
        <f>N39</f>
        <v>2010</v>
      </c>
      <c r="O40" s="38">
        <v>32</v>
      </c>
      <c r="P40" s="36">
        <v>1.12183</v>
      </c>
      <c r="Q40" s="36"/>
      <c r="R40" s="41">
        <f>IF(O40="","",(IF(G40="売",H40-P40,P40-H40))*M40*10000000)</f>
        <v>210605.2296890152</v>
      </c>
      <c r="S40" s="41"/>
      <c r="T40" s="42">
        <f>IF(O40="","",IF(R40&lt;0,J40*(-1),IF(G40="買",(P40-H40)*10000,(H40-P40)*10000)))</f>
        <v>187.29999999999913</v>
      </c>
      <c r="U40" s="42"/>
      <c r="V40" s="43">
        <f>IF(T40&gt;0,T40/J40,0)</f>
        <v>3.2126929674099327</v>
      </c>
    </row>
    <row r="41" spans="2:22" ht="12.75">
      <c r="B41" s="36">
        <v>33</v>
      </c>
      <c r="C41" s="37">
        <f>IF(R40="","",C40+R40)</f>
        <v>2395742.245326966</v>
      </c>
      <c r="D41" s="37"/>
      <c r="E41" s="36">
        <v>2006</v>
      </c>
      <c r="F41" s="38">
        <v>33</v>
      </c>
      <c r="G41" s="36" t="s">
        <v>36</v>
      </c>
      <c r="H41" s="36">
        <v>1.188</v>
      </c>
      <c r="I41" s="36"/>
      <c r="J41" s="36">
        <f>ABS(H41-P41)*10000</f>
        <v>31.999999999998696</v>
      </c>
      <c r="K41" s="37">
        <f>IF(F41="","",C41*L$7)</f>
        <v>71872.26735980898</v>
      </c>
      <c r="L41" s="37"/>
      <c r="M41" s="40">
        <f>IF(J41="","",(K41/J41)/1000)</f>
        <v>2.246008354994122</v>
      </c>
      <c r="N41" s="36">
        <v>2006</v>
      </c>
      <c r="O41" s="38">
        <v>33</v>
      </c>
      <c r="P41" s="36">
        <v>1.1848</v>
      </c>
      <c r="Q41" s="36"/>
      <c r="R41" s="41">
        <f>IF(O41="","",(IF(G41="売",H41-P41,P41-H41))*M41*10000000)</f>
        <v>-71872.26735980898</v>
      </c>
      <c r="S41" s="41"/>
      <c r="T41" s="42">
        <f>IF(O41="","",IF(R41&lt;0,J41*(-1),IF(G41="買",(P41-H41)*10000,(H41-P41)*10000)))</f>
        <v>-31.999999999998696</v>
      </c>
      <c r="U41" s="42"/>
      <c r="V41" s="43">
        <f>IF(T41&gt;0,T41/J41,0)</f>
        <v>0</v>
      </c>
    </row>
    <row r="42" spans="2:22" ht="12.75">
      <c r="B42" s="36">
        <v>34</v>
      </c>
      <c r="C42" s="37">
        <f>IF(R41="","",C41+R41)</f>
        <v>2323869.977967157</v>
      </c>
      <c r="D42" s="37"/>
      <c r="E42" s="36">
        <f>E41</f>
        <v>2006</v>
      </c>
      <c r="F42" s="38">
        <v>34</v>
      </c>
      <c r="G42" s="36" t="s">
        <v>36</v>
      </c>
      <c r="H42" s="36">
        <v>1.1906</v>
      </c>
      <c r="I42" s="36"/>
      <c r="J42" s="36">
        <f>ABS(H42-1.1859)*10000</f>
        <v>47.000000000001485</v>
      </c>
      <c r="K42" s="37">
        <f>IF(F42="","",C42*L$7)</f>
        <v>69716.0993390147</v>
      </c>
      <c r="L42" s="37"/>
      <c r="M42" s="40">
        <f>IF(J42="","",(K42/J42)/1000)</f>
        <v>1.483321262532181</v>
      </c>
      <c r="N42" s="36">
        <f>N41</f>
        <v>2006</v>
      </c>
      <c r="O42" s="38">
        <v>34</v>
      </c>
      <c r="P42" s="36">
        <v>1.19486</v>
      </c>
      <c r="Q42" s="36"/>
      <c r="R42" s="41">
        <f>IF(O42="","",(IF(G42="売",H42-P42,P42-H42))*M42*10000000)</f>
        <v>63189.48578386988</v>
      </c>
      <c r="S42" s="41"/>
      <c r="T42" s="42">
        <f>IF(O42="","",IF(R42&lt;0,J42*(-1),IF(G42="買",(P42-H42)*10000,(H42-P42)*10000)))</f>
        <v>42.599999999999305</v>
      </c>
      <c r="U42" s="42"/>
      <c r="V42" s="43">
        <f>IF(T42&gt;0,T42/J42,0)</f>
        <v>0.9063829787233608</v>
      </c>
    </row>
    <row r="43" spans="2:22" ht="12.75">
      <c r="B43" s="36">
        <v>35</v>
      </c>
      <c r="C43" s="37">
        <f>IF(R42="","",C42+R42)</f>
        <v>2387059.463751027</v>
      </c>
      <c r="D43" s="37"/>
      <c r="E43" s="36">
        <f>E42</f>
        <v>2006</v>
      </c>
      <c r="F43" s="38">
        <v>35</v>
      </c>
      <c r="G43" s="36" t="s">
        <v>37</v>
      </c>
      <c r="H43" s="36">
        <v>1.2388</v>
      </c>
      <c r="I43" s="36"/>
      <c r="J43" s="36">
        <f>ABS(H43-P43)*10000</f>
        <v>27.000000000001467</v>
      </c>
      <c r="K43" s="37">
        <f>IF(F43="","",C43*L$7)</f>
        <v>71611.78391253081</v>
      </c>
      <c r="L43" s="37"/>
      <c r="M43" s="40">
        <f>IF(J43="","",(K43/J43)/1000)</f>
        <v>2.6522882930565523</v>
      </c>
      <c r="N43" s="36">
        <f>N42</f>
        <v>2006</v>
      </c>
      <c r="O43" s="38">
        <v>35</v>
      </c>
      <c r="P43" s="36">
        <v>1.2415</v>
      </c>
      <c r="Q43" s="36"/>
      <c r="R43" s="41">
        <f>IF(O43="","",(IF(G43="売",H43-P43,P43-H43))*M43*10000000)</f>
        <v>-71611.7839125308</v>
      </c>
      <c r="S43" s="41"/>
      <c r="T43" s="42">
        <f>IF(O43="","",IF(R43&lt;0,J43*(-1),IF(G43="買",(P43-H43)*10000,(H43-P43)*10000)))</f>
        <v>-27.000000000001467</v>
      </c>
      <c r="U43" s="42"/>
      <c r="V43" s="43">
        <f>IF(T43&gt;0,T43/J43,0)</f>
        <v>0</v>
      </c>
    </row>
    <row r="44" spans="2:22" ht="12.75">
      <c r="B44" s="36">
        <v>36</v>
      </c>
      <c r="C44" s="37">
        <f>IF(R43="","",C43+R43)</f>
        <v>2315447.6798384963</v>
      </c>
      <c r="D44" s="37"/>
      <c r="E44" s="36">
        <f>E43</f>
        <v>2006</v>
      </c>
      <c r="F44" s="38">
        <v>36</v>
      </c>
      <c r="G44" s="36" t="s">
        <v>37</v>
      </c>
      <c r="H44" s="36">
        <v>1.2373</v>
      </c>
      <c r="I44" s="36"/>
      <c r="J44" s="36">
        <f>ABS(H44-P44)*10000</f>
        <v>44.99999999999949</v>
      </c>
      <c r="K44" s="37">
        <f>IF(F44="","",C44*L$7)</f>
        <v>69463.43039515488</v>
      </c>
      <c r="L44" s="37"/>
      <c r="M44" s="40">
        <f>IF(J44="","",(K44/J44)/1000)</f>
        <v>1.543631786559015</v>
      </c>
      <c r="N44" s="36">
        <f>N43</f>
        <v>2006</v>
      </c>
      <c r="O44" s="38">
        <v>36</v>
      </c>
      <c r="P44" s="36">
        <v>1.2418</v>
      </c>
      <c r="Q44" s="36"/>
      <c r="R44" s="41">
        <f>IF(O44="","",(IF(G44="売",H44-P44,P44-H44))*M44*10000000)</f>
        <v>-69463.43039515488</v>
      </c>
      <c r="S44" s="41"/>
      <c r="T44" s="42">
        <f>IF(O44="","",IF(R44&lt;0,J44*(-1),IF(G44="買",(P44-H44)*10000,(H44-P44)*10000)))</f>
        <v>-44.99999999999949</v>
      </c>
      <c r="U44" s="42"/>
      <c r="V44" s="43">
        <f>IF(T44&gt;0,T44/J44,0)</f>
        <v>0</v>
      </c>
    </row>
    <row r="45" spans="2:22" ht="12.75">
      <c r="B45" s="36">
        <v>37</v>
      </c>
      <c r="C45" s="37">
        <f>IF(R44="","",C44+R44)</f>
        <v>2245984.2494433415</v>
      </c>
      <c r="D45" s="37"/>
      <c r="E45" s="36">
        <f>E44</f>
        <v>2006</v>
      </c>
      <c r="F45" s="38">
        <v>37</v>
      </c>
      <c r="G45" s="36" t="s">
        <v>37</v>
      </c>
      <c r="H45" s="36">
        <v>1.2751000000000001</v>
      </c>
      <c r="I45" s="36"/>
      <c r="J45" s="36">
        <f>ABS(H45-P45)*10000</f>
        <v>81.99999999999986</v>
      </c>
      <c r="K45" s="37">
        <f>IF(F45="","",C45*L$7)</f>
        <v>67379.52748330025</v>
      </c>
      <c r="L45" s="37"/>
      <c r="M45" s="40">
        <f>IF(J45="","",(K45/J45)/1000)</f>
        <v>0.8217015546743948</v>
      </c>
      <c r="N45" s="36">
        <f>N44</f>
        <v>2006</v>
      </c>
      <c r="O45" s="38">
        <v>37</v>
      </c>
      <c r="P45" s="36">
        <v>1.2833</v>
      </c>
      <c r="Q45" s="36"/>
      <c r="R45" s="41">
        <f>IF(O45="","",(IF(G45="売",H45-P45,P45-H45))*M45*10000000)</f>
        <v>-67379.52748330025</v>
      </c>
      <c r="S45" s="41"/>
      <c r="T45" s="42">
        <f>IF(O45="","",IF(R45&lt;0,J45*(-1),IF(G45="買",(P45-H45)*10000,(H45-P45)*10000)))</f>
        <v>-81.99999999999986</v>
      </c>
      <c r="U45" s="42"/>
      <c r="V45" s="43">
        <f>IF(T45&gt;0,T45/J45,0)</f>
        <v>0</v>
      </c>
    </row>
    <row r="46" spans="2:22" ht="12.75">
      <c r="B46" s="36">
        <v>38</v>
      </c>
      <c r="C46" s="37">
        <f>IF(R45="","",C45+R45)</f>
        <v>2178604.721960041</v>
      </c>
      <c r="D46" s="37"/>
      <c r="E46" s="36">
        <f>E45</f>
        <v>2006</v>
      </c>
      <c r="F46" s="38">
        <v>38</v>
      </c>
      <c r="G46" s="36" t="s">
        <v>37</v>
      </c>
      <c r="H46" s="36">
        <v>1.2842</v>
      </c>
      <c r="I46" s="36"/>
      <c r="J46" s="36">
        <f>ABS(H46-1.2914)*10000</f>
        <v>71.99999999999874</v>
      </c>
      <c r="K46" s="37">
        <f>IF(F46="","",C46*L$7)</f>
        <v>65358.141658801236</v>
      </c>
      <c r="L46" s="37"/>
      <c r="M46" s="40">
        <f>IF(J46="","",(K46/J46)/1000)</f>
        <v>0.9077519674833665</v>
      </c>
      <c r="N46" s="36">
        <f>N45</f>
        <v>2006</v>
      </c>
      <c r="O46" s="38">
        <v>38</v>
      </c>
      <c r="P46" s="36">
        <v>1.27777</v>
      </c>
      <c r="Q46" s="36"/>
      <c r="R46" s="41">
        <f>IF(O46="","",(IF(G46="売",H46-P46,P46-H46))*M46*10000000)</f>
        <v>58368.45150917988</v>
      </c>
      <c r="S46" s="41"/>
      <c r="T46" s="42">
        <f>IF(O46="","",IF(R46&lt;0,J46*(-1),IF(G46="買",(P46-H46)*10000,(H46-P46)*10000)))</f>
        <v>64.29999999999936</v>
      </c>
      <c r="U46" s="42"/>
      <c r="V46" s="43">
        <f>IF(T46&gt;0,T46/J46,0)</f>
        <v>0.8930555555555624</v>
      </c>
    </row>
    <row r="47" spans="2:22" ht="12.75">
      <c r="B47" s="36">
        <v>39</v>
      </c>
      <c r="C47" s="37">
        <f>IF(R46="","",C46+R46)</f>
        <v>2236973.173469221</v>
      </c>
      <c r="D47" s="37"/>
      <c r="E47" s="36">
        <f>E46</f>
        <v>2006</v>
      </c>
      <c r="F47" s="38">
        <v>39</v>
      </c>
      <c r="G47" s="36" t="s">
        <v>37</v>
      </c>
      <c r="H47" s="36">
        <v>1.2757</v>
      </c>
      <c r="I47" s="36"/>
      <c r="J47" s="36">
        <f>ABS(H47-1.2801)*10000</f>
        <v>43.999999999999595</v>
      </c>
      <c r="K47" s="37">
        <f>IF(F47="","",C47*L$7)</f>
        <v>67109.19520407663</v>
      </c>
      <c r="L47" s="37"/>
      <c r="M47" s="40">
        <f>IF(J47="","",(K47/J47)/1000)</f>
        <v>1.5252089819108468</v>
      </c>
      <c r="N47" s="36">
        <f>N46</f>
        <v>2006</v>
      </c>
      <c r="O47" s="38">
        <v>39</v>
      </c>
      <c r="P47" s="36">
        <v>1.26957</v>
      </c>
      <c r="Q47" s="36"/>
      <c r="R47" s="41">
        <f>IF(O47="","",(IF(G47="売",H47-P47,P47-H47))*M47*10000000)</f>
        <v>93495.31059113443</v>
      </c>
      <c r="S47" s="41"/>
      <c r="T47" s="42">
        <f>IF(O47="","",IF(R47&lt;0,J47*(-1),IF(G47="買",(P47-H47)*10000,(H47-P47)*10000)))</f>
        <v>61.299999999999685</v>
      </c>
      <c r="U47" s="42"/>
      <c r="V47" s="43">
        <f>IF(T47&gt;0,T47/J47,0)</f>
        <v>1.3931818181818239</v>
      </c>
    </row>
    <row r="48" spans="2:22" ht="12.75">
      <c r="B48" s="36">
        <v>40</v>
      </c>
      <c r="C48" s="37">
        <f>IF(R47="","",C47+R47)</f>
        <v>2330468.4840603555</v>
      </c>
      <c r="D48" s="37"/>
      <c r="E48" s="36">
        <f>E47</f>
        <v>2006</v>
      </c>
      <c r="F48" s="38">
        <v>40</v>
      </c>
      <c r="G48" s="36" t="s">
        <v>37</v>
      </c>
      <c r="H48" s="36">
        <v>1.3225</v>
      </c>
      <c r="I48" s="36"/>
      <c r="J48" s="36">
        <f>ABS(H48-P48)*10000</f>
        <v>58.00000000000027</v>
      </c>
      <c r="K48" s="37">
        <f>IF(F48="","",C48*L$7)</f>
        <v>69914.05452181066</v>
      </c>
      <c r="L48" s="37"/>
      <c r="M48" s="40">
        <f>IF(J48="","",(K48/J48)/1000)</f>
        <v>1.2054147331346607</v>
      </c>
      <c r="N48" s="36">
        <f>N47</f>
        <v>2006</v>
      </c>
      <c r="O48" s="38">
        <v>40</v>
      </c>
      <c r="P48" s="36">
        <v>1.3283</v>
      </c>
      <c r="Q48" s="36"/>
      <c r="R48" s="41">
        <f>IF(O48="","",(IF(G48="売",H48-P48,P48-H48))*M48*10000000)</f>
        <v>-69914.05452181066</v>
      </c>
      <c r="S48" s="41"/>
      <c r="T48" s="42">
        <f>IF(O48="","",IF(R48&lt;0,J48*(-1),IF(G48="買",(P48-H48)*10000,(H48-P48)*10000)))</f>
        <v>-58.00000000000027</v>
      </c>
      <c r="U48" s="42"/>
      <c r="V48" s="43">
        <f>IF(T48&gt;0,T48/J48,0)</f>
        <v>0</v>
      </c>
    </row>
    <row r="49" spans="2:22" ht="12.75">
      <c r="B49" s="36">
        <v>41</v>
      </c>
      <c r="C49" s="37">
        <f>IF(R48="","",C48+R48)</f>
        <v>2260554.4295385447</v>
      </c>
      <c r="D49" s="37"/>
      <c r="E49" s="36">
        <f>E48</f>
        <v>2006</v>
      </c>
      <c r="F49" s="38">
        <v>41</v>
      </c>
      <c r="G49" s="36" t="s">
        <v>37</v>
      </c>
      <c r="H49" s="36">
        <v>1.3599</v>
      </c>
      <c r="I49" s="36"/>
      <c r="J49" s="36">
        <f>ABS(H49-P49)*10000</f>
        <v>19.999999999997797</v>
      </c>
      <c r="K49" s="37">
        <f>IF(F49="","",C49*L$7)</f>
        <v>67816.63288615634</v>
      </c>
      <c r="L49" s="37"/>
      <c r="M49" s="40">
        <f>IF(J49="","",(K49/J49)/1000)</f>
        <v>3.3908316443081903</v>
      </c>
      <c r="N49" s="36">
        <f>N48</f>
        <v>2006</v>
      </c>
      <c r="O49" s="38">
        <v>41</v>
      </c>
      <c r="P49" s="36">
        <v>1.3618999999999999</v>
      </c>
      <c r="Q49" s="36"/>
      <c r="R49" s="41">
        <f>IF(O49="","",(IF(G49="売",H49-P49,P49-H49))*M49*10000000)</f>
        <v>-67816.63288615634</v>
      </c>
      <c r="S49" s="41"/>
      <c r="T49" s="42">
        <f>IF(O49="","",IF(R49&lt;0,J49*(-1),IF(G49="買",(P49-H49)*10000,(H49-P49)*10000)))</f>
        <v>-19.999999999997797</v>
      </c>
      <c r="U49" s="42"/>
      <c r="V49" s="43">
        <f>IF(T49&gt;0,T49/J49,0)</f>
        <v>0</v>
      </c>
    </row>
    <row r="50" spans="2:22" ht="12.75">
      <c r="B50" s="36">
        <v>42</v>
      </c>
      <c r="C50" s="37">
        <f>IF(R49="","",C49+R49)</f>
        <v>2192737.7966523883</v>
      </c>
      <c r="D50" s="37"/>
      <c r="E50" s="36">
        <f>E49</f>
        <v>2006</v>
      </c>
      <c r="F50" s="38">
        <v>42</v>
      </c>
      <c r="G50" s="36" t="s">
        <v>37</v>
      </c>
      <c r="H50" s="36">
        <v>1.3601</v>
      </c>
      <c r="I50" s="36"/>
      <c r="J50" s="36">
        <f>ABS(H50-P50)*10000</f>
        <v>36.000000000000476</v>
      </c>
      <c r="K50" s="37">
        <f>IF(F50="","",C50*L$7)</f>
        <v>65782.13389957165</v>
      </c>
      <c r="L50" s="37"/>
      <c r="M50" s="40">
        <f>IF(J50="","",(K50/J50)/1000)</f>
        <v>1.8272814972102995</v>
      </c>
      <c r="N50" s="36">
        <f>N49</f>
        <v>2006</v>
      </c>
      <c r="O50" s="38">
        <v>42</v>
      </c>
      <c r="P50" s="36">
        <v>1.3637000000000001</v>
      </c>
      <c r="Q50" s="36"/>
      <c r="R50" s="41">
        <f>IF(O50="","",(IF(G50="売",H50-P50,P50-H50))*M50*10000000)</f>
        <v>-65782.13389957165</v>
      </c>
      <c r="S50" s="41"/>
      <c r="T50" s="42">
        <f>IF(O50="","",IF(R50&lt;0,J50*(-1),IF(G50="買",(P50-H50)*10000,(H50-P50)*10000)))</f>
        <v>-36.000000000000476</v>
      </c>
      <c r="U50" s="42"/>
      <c r="V50" s="43">
        <f>IF(T50&gt;0,T50/J50,0)</f>
        <v>0</v>
      </c>
    </row>
    <row r="51" spans="2:22" ht="12.75">
      <c r="B51" s="36">
        <v>43</v>
      </c>
      <c r="C51" s="37">
        <f>IF(R50="","",C50+R50)</f>
        <v>2126955.6627528165</v>
      </c>
      <c r="D51" s="37"/>
      <c r="E51" s="36">
        <f>E50</f>
        <v>2006</v>
      </c>
      <c r="F51" s="38">
        <v>43</v>
      </c>
      <c r="G51" s="36" t="s">
        <v>37</v>
      </c>
      <c r="H51" s="36">
        <v>1.4095</v>
      </c>
      <c r="I51" s="36"/>
      <c r="J51" s="36">
        <f>ABS(H51-P51)*10000</f>
        <v>35.00000000000058</v>
      </c>
      <c r="K51" s="37">
        <f>IF(F51="","",C51*L$7)</f>
        <v>63808.669882584494</v>
      </c>
      <c r="L51" s="37"/>
      <c r="M51" s="40">
        <f>IF(J51="","",(K51/J51)/1000)</f>
        <v>1.823104853788098</v>
      </c>
      <c r="N51" s="36">
        <f>N50</f>
        <v>2006</v>
      </c>
      <c r="O51" s="38">
        <v>43</v>
      </c>
      <c r="P51" s="36">
        <v>1.413</v>
      </c>
      <c r="Q51" s="36"/>
      <c r="R51" s="41">
        <f>IF(O51="","",(IF(G51="売",H51-P51,P51-H51))*M51*10000000)</f>
        <v>-63808.669882584494</v>
      </c>
      <c r="S51" s="41"/>
      <c r="T51" s="42">
        <f>IF(O51="","",IF(R51&lt;0,J51*(-1),IF(G51="買",(P51-H51)*10000,(H51-P51)*10000)))</f>
        <v>-35.00000000000058</v>
      </c>
      <c r="U51" s="42"/>
      <c r="V51" s="43">
        <f>IF(T51&gt;0,T51/J51,0)</f>
        <v>0</v>
      </c>
    </row>
    <row r="52" spans="2:22" ht="12.75">
      <c r="B52" s="36">
        <v>44</v>
      </c>
      <c r="C52" s="37">
        <f>IF(R51="","",C51+R51)</f>
        <v>2063146.9928702319</v>
      </c>
      <c r="D52" s="37"/>
      <c r="E52" s="36">
        <f>E51</f>
        <v>2006</v>
      </c>
      <c r="F52" s="38">
        <v>44</v>
      </c>
      <c r="G52" s="36" t="s">
        <v>36</v>
      </c>
      <c r="H52" s="36">
        <v>1.4368</v>
      </c>
      <c r="I52" s="36"/>
      <c r="J52" s="36">
        <f>ABS(H52-1.431)*10000</f>
        <v>58.00000000000027</v>
      </c>
      <c r="K52" s="37">
        <f>IF(F52="","",C52*L$7)</f>
        <v>61894.40978610695</v>
      </c>
      <c r="L52" s="37"/>
      <c r="M52" s="40">
        <f>IF(J52="","",(K52/J52)/1000)</f>
        <v>1.0671449963121837</v>
      </c>
      <c r="N52" s="36">
        <f>N51</f>
        <v>2006</v>
      </c>
      <c r="O52" s="38">
        <v>44</v>
      </c>
      <c r="P52" s="36">
        <v>1.44779</v>
      </c>
      <c r="Q52" s="36"/>
      <c r="R52" s="41">
        <f>IF(O52="","",(IF(G52="売",H52-P52,P52-H52))*M52*10000000)</f>
        <v>117279.23509470723</v>
      </c>
      <c r="S52" s="41"/>
      <c r="T52" s="42">
        <f>IF(O52="","",IF(R52&lt;0,J52*(-1),IF(G52="買",(P52-H52)*10000,(H52-P52)*10000)))</f>
        <v>109.89999999999833</v>
      </c>
      <c r="U52" s="42"/>
      <c r="V52" s="43">
        <f>IF(T52&gt;0,T52/J52,0)</f>
        <v>1.8948275862068589</v>
      </c>
    </row>
    <row r="53" spans="2:22" ht="12.75">
      <c r="B53" s="36">
        <v>45</v>
      </c>
      <c r="C53" s="37">
        <f>IF(R52="","",C52+R52)</f>
        <v>2180426.227964939</v>
      </c>
      <c r="D53" s="37"/>
      <c r="E53" s="36">
        <f>E52</f>
        <v>2006</v>
      </c>
      <c r="F53" s="38">
        <v>45</v>
      </c>
      <c r="G53" s="36" t="s">
        <v>37</v>
      </c>
      <c r="H53" s="36">
        <v>1.5333</v>
      </c>
      <c r="I53" s="36"/>
      <c r="J53" s="36">
        <f>ABS(H53-P53)*10000</f>
        <v>160.9999999999978</v>
      </c>
      <c r="K53" s="37">
        <f>IF(F53="","",C53*L$7)</f>
        <v>65412.786838948174</v>
      </c>
      <c r="L53" s="37"/>
      <c r="M53" s="40">
        <f>IF(J53="","",(K53/J53)/1000)</f>
        <v>0.4062906014841557</v>
      </c>
      <c r="N53" s="36">
        <f>N52</f>
        <v>2006</v>
      </c>
      <c r="O53" s="38">
        <v>45</v>
      </c>
      <c r="P53" s="36">
        <v>1.5493999999999999</v>
      </c>
      <c r="Q53" s="36"/>
      <c r="R53" s="41">
        <f>IF(O53="","",(IF(G53="売",H53-P53,P53-H53))*M53*10000000)</f>
        <v>-65412.786838948174</v>
      </c>
      <c r="S53" s="41"/>
      <c r="T53" s="42">
        <f>IF(O53="","",IF(R53&lt;0,J53*(-1),IF(G53="買",(P53-H53)*10000,(H53-P53)*10000)))</f>
        <v>-160.9999999999978</v>
      </c>
      <c r="U53" s="42"/>
      <c r="V53" s="43">
        <f>IF(T53&gt;0,T53/J53,0)</f>
        <v>0</v>
      </c>
    </row>
    <row r="54" spans="2:22" ht="12.75">
      <c r="B54" s="36">
        <v>46</v>
      </c>
      <c r="C54" s="37">
        <f>IF(R53="","",C53+R53)</f>
        <v>2115013.441125991</v>
      </c>
      <c r="D54" s="37"/>
      <c r="E54" s="36">
        <f>E53</f>
        <v>2006</v>
      </c>
      <c r="F54" s="38">
        <v>46</v>
      </c>
      <c r="G54" s="36" t="s">
        <v>36</v>
      </c>
      <c r="H54" s="36">
        <v>1.5607</v>
      </c>
      <c r="I54" s="36"/>
      <c r="J54" s="36">
        <f>ABS(H54-1.551)*10000</f>
        <v>96.9999999999982</v>
      </c>
      <c r="K54" s="37">
        <f>IF(F54="","",C54*L$7)</f>
        <v>63450.403233779725</v>
      </c>
      <c r="L54" s="37"/>
      <c r="M54" s="40">
        <f>IF(J54="","",(K54/J54)/1000)</f>
        <v>0.6541278683894939</v>
      </c>
      <c r="N54" s="36">
        <f>N53</f>
        <v>2006</v>
      </c>
      <c r="O54" s="38">
        <v>46</v>
      </c>
      <c r="P54" s="36">
        <v>1.56573</v>
      </c>
      <c r="Q54" s="36"/>
      <c r="R54" s="41">
        <f>IF(O54="","",(IF(G54="売",H54-P54,P54-H54))*M54*10000000)</f>
        <v>32902.63177999213</v>
      </c>
      <c r="S54" s="41"/>
      <c r="T54" s="42">
        <f>IF(O54="","",IF(R54&lt;0,J54*(-1),IF(G54="買",(P54-H54)*10000,(H54-P54)*10000)))</f>
        <v>50.3000000000009</v>
      </c>
      <c r="U54" s="42"/>
      <c r="V54" s="43">
        <f>IF(T54&gt;0,T54/J54,0)</f>
        <v>0.5185567010309468</v>
      </c>
    </row>
    <row r="55" spans="2:22" ht="12.75">
      <c r="B55" s="36">
        <v>47</v>
      </c>
      <c r="C55" s="37">
        <f>IF(R54="","",C54+R54)</f>
        <v>2147916.072905983</v>
      </c>
      <c r="D55" s="37"/>
      <c r="E55" s="36">
        <f>E54</f>
        <v>2006</v>
      </c>
      <c r="F55" s="38">
        <v>47</v>
      </c>
      <c r="G55" s="36" t="s">
        <v>37</v>
      </c>
      <c r="H55" s="36">
        <v>1.5726</v>
      </c>
      <c r="I55" s="36"/>
      <c r="J55" s="36">
        <f>ABS(H55-1.5818)*10000</f>
        <v>91.99999999999875</v>
      </c>
      <c r="K55" s="37">
        <f>IF(F55="","",C55*L$7)</f>
        <v>64437.482187179485</v>
      </c>
      <c r="L55" s="37"/>
      <c r="M55" s="40">
        <f>IF(J55="","",(K55/J55)/1000)</f>
        <v>0.7004074150780474</v>
      </c>
      <c r="N55" s="36">
        <f>N54</f>
        <v>2006</v>
      </c>
      <c r="O55" s="38">
        <v>47</v>
      </c>
      <c r="P55" s="36">
        <v>1.5613700000000001</v>
      </c>
      <c r="Q55" s="36"/>
      <c r="R55" s="41">
        <f>IF(O55="","",(IF(G55="売",H55-P55,P55-H55))*M55*10000000)</f>
        <v>78655.75271326368</v>
      </c>
      <c r="S55" s="41"/>
      <c r="T55" s="42">
        <f>IF(O55="","",IF(R55&lt;0,J55*(-1),IF(G55="買",(P55-H55)*10000,(H55-P55)*10000)))</f>
        <v>112.2999999999985</v>
      </c>
      <c r="U55" s="42"/>
      <c r="V55" s="43">
        <f>IF(T55&gt;0,T55/J55,0)</f>
        <v>1.2206521739130438</v>
      </c>
    </row>
    <row r="56" spans="2:22" ht="12.75">
      <c r="B56" s="36">
        <v>48</v>
      </c>
      <c r="C56" s="37">
        <f>IF(R55="","",C55+R55)</f>
        <v>2226571.8256192463</v>
      </c>
      <c r="D56" s="37"/>
      <c r="E56" s="36"/>
      <c r="F56" s="38"/>
      <c r="G56" s="36"/>
      <c r="H56" s="36"/>
      <c r="I56" s="36"/>
      <c r="J56" s="36"/>
      <c r="K56" s="37">
        <f>IF(F56="","",C56*L$7)</f>
        <v>0</v>
      </c>
      <c r="L56" s="37"/>
      <c r="M56" s="40">
        <f>IF(J56="","",(K56/J56)/1000)</f>
        <v>0</v>
      </c>
      <c r="N56" s="36"/>
      <c r="O56" s="38"/>
      <c r="P56" s="36"/>
      <c r="Q56" s="36"/>
      <c r="R56" s="41">
        <f>IF(O56="","",(IF(G56="売",H56-P56,P56-H56))*M56*10000000)</f>
      </c>
      <c r="S56" s="41"/>
      <c r="T56" s="42">
        <f>IF(O56="","",IF(R56&lt;0,J56*(-1),IF(G56="買",(P56-H56)*100,(H56-P56)*10000)))</f>
      </c>
      <c r="U56" s="42"/>
      <c r="V56" s="43" t="e">
        <f>IF(T56&gt;0,T56/J56,0)</f>
        <v>#DIV/0!</v>
      </c>
    </row>
    <row r="57" spans="2:22" ht="12.75">
      <c r="B57" s="36">
        <v>49</v>
      </c>
      <c r="C57" s="37">
        <f>IF(R56="","",C56+R56)</f>
      </c>
      <c r="D57" s="37"/>
      <c r="E57" s="36"/>
      <c r="F57" s="38"/>
      <c r="G57" s="36"/>
      <c r="H57" s="36"/>
      <c r="I57" s="36"/>
      <c r="J57" s="36"/>
      <c r="K57" s="37">
        <f>IF(F57="","",C57*L$7)</f>
        <v>0</v>
      </c>
      <c r="L57" s="37"/>
      <c r="M57" s="40">
        <f>IF(J57="","",(K57/J57)/1000)</f>
        <v>0</v>
      </c>
      <c r="N57" s="36"/>
      <c r="O57" s="38"/>
      <c r="P57" s="36"/>
      <c r="Q57" s="36"/>
      <c r="R57" s="41">
        <f>IF(O57="","",(IF(G57="売",H57-P57,P57-H57))*M57*10000000)</f>
      </c>
      <c r="S57" s="41"/>
      <c r="T57" s="42">
        <f>IF(O57="","",IF(R57&lt;0,J57*(-1),IF(G57="買",(P57-H57)*100,(H57-P57)*10000)))</f>
      </c>
      <c r="U57" s="42"/>
      <c r="V57" s="43" t="e">
        <f>IF(T57&gt;0,T57/J57,0)</f>
        <v>#DIV/0!</v>
      </c>
    </row>
    <row r="58" spans="2:22" ht="12.75">
      <c r="B58" s="36">
        <v>50</v>
      </c>
      <c r="C58" s="37">
        <f>IF(R57="","",C57+R57)</f>
      </c>
      <c r="D58" s="37"/>
      <c r="E58" s="36"/>
      <c r="F58" s="38"/>
      <c r="G58" s="36"/>
      <c r="H58" s="36"/>
      <c r="I58" s="36"/>
      <c r="J58" s="36"/>
      <c r="K58" s="37">
        <f>IF(F58="","",C58*L$7)</f>
        <v>0</v>
      </c>
      <c r="L58" s="37"/>
      <c r="M58" s="40">
        <f>IF(J58="","",(K58/J58)/1000)</f>
        <v>0</v>
      </c>
      <c r="N58" s="36"/>
      <c r="O58" s="38"/>
      <c r="P58" s="36"/>
      <c r="Q58" s="36"/>
      <c r="R58" s="41">
        <f>IF(O58="","",(IF(G58="売",H58-P58,P58-H58))*M58*10000000)</f>
      </c>
      <c r="S58" s="41"/>
      <c r="T58" s="42">
        <f>IF(O58="","",IF(R58&lt;0,J58*(-1),IF(G58="買",(P58-H58)*100,(H58-P58)*10000)))</f>
      </c>
      <c r="U58" s="42"/>
      <c r="V58" s="43" t="e">
        <f>IF(T58&gt;0,T58/J58,0)</f>
        <v>#DIV/0!</v>
      </c>
    </row>
    <row r="59" spans="2:22" ht="12.75">
      <c r="B59" s="36">
        <v>51</v>
      </c>
      <c r="C59" s="37">
        <f>IF(R58="","",C58+R58)</f>
      </c>
      <c r="D59" s="37"/>
      <c r="E59" s="36"/>
      <c r="F59" s="38"/>
      <c r="G59" s="36"/>
      <c r="H59" s="36"/>
      <c r="I59" s="36"/>
      <c r="J59" s="36"/>
      <c r="K59" s="37">
        <f>IF(F59="","",C59*L$7)</f>
        <v>0</v>
      </c>
      <c r="L59" s="37"/>
      <c r="M59" s="40">
        <f>IF(J59="","",(K59/J59)/1000)</f>
        <v>0</v>
      </c>
      <c r="N59" s="36"/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/>
      <c r="F60" s="38"/>
      <c r="G60" s="36"/>
      <c r="H60" s="36"/>
      <c r="I60" s="36"/>
      <c r="J60" s="36"/>
      <c r="K60" s="37">
        <f>IF(F60="","",C60*L$7)</f>
        <v>0</v>
      </c>
      <c r="L60" s="37"/>
      <c r="M60" s="40">
        <f>IF(J60="","",(K60/J60)/1000)</f>
        <v>0</v>
      </c>
      <c r="N60" s="36"/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/>
      <c r="F61" s="38"/>
      <c r="G61" s="36"/>
      <c r="H61" s="36"/>
      <c r="I61" s="36"/>
      <c r="J61" s="36"/>
      <c r="K61" s="37">
        <f>IF(F61="","",C61*L$7)</f>
        <v>0</v>
      </c>
      <c r="L61" s="37"/>
      <c r="M61" s="40">
        <f>IF(J61="","",(K61/J61)/1000)</f>
        <v>0</v>
      </c>
      <c r="N61" s="36"/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/>
      <c r="F62" s="38"/>
      <c r="G62" s="36"/>
      <c r="H62" s="36"/>
      <c r="I62" s="36"/>
      <c r="J62" s="36"/>
      <c r="K62" s="37">
        <f>IF(F62="","",C62*L$7)</f>
        <v>0</v>
      </c>
      <c r="L62" s="37"/>
      <c r="M62" s="40">
        <f>IF(J62="","",(K62/J62)/1000)</f>
        <v>0</v>
      </c>
      <c r="N62" s="36"/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/>
      <c r="F63" s="38"/>
      <c r="G63" s="36"/>
      <c r="H63" s="36"/>
      <c r="I63" s="36"/>
      <c r="J63" s="36"/>
      <c r="K63" s="37">
        <f>IF(F63="","",C63*L$7)</f>
        <v>0</v>
      </c>
      <c r="L63" s="37"/>
      <c r="M63" s="40">
        <f>IF(J63="","",(K63/J63)/1000)</f>
        <v>0</v>
      </c>
      <c r="N63" s="36"/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/>
      <c r="F64" s="38"/>
      <c r="G64" s="36"/>
      <c r="H64" s="36"/>
      <c r="I64" s="36"/>
      <c r="J64" s="36"/>
      <c r="K64" s="37">
        <f>IF(F64="","",C64*L$7)</f>
        <v>0</v>
      </c>
      <c r="L64" s="37"/>
      <c r="M64" s="40">
        <f>IF(J64="","",(K64/J64)/1000)</f>
        <v>0</v>
      </c>
      <c r="N64" s="36"/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/>
      <c r="F65" s="38"/>
      <c r="G65" s="36"/>
      <c r="H65" s="36"/>
      <c r="I65" s="36"/>
      <c r="J65" s="36"/>
      <c r="K65" s="37">
        <f>IF(F65="","",C65*L$7)</f>
        <v>0</v>
      </c>
      <c r="L65" s="37"/>
      <c r="M65" s="40">
        <f>IF(J65="","",(K65/J65)/1000)</f>
        <v>0</v>
      </c>
      <c r="N65" s="36"/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/>
      <c r="F66" s="38"/>
      <c r="G66" s="36"/>
      <c r="H66" s="36"/>
      <c r="I66" s="36"/>
      <c r="J66" s="36"/>
      <c r="K66" s="37">
        <f>IF(F66="","",C66*L$7)</f>
        <v>0</v>
      </c>
      <c r="L66" s="37"/>
      <c r="M66" s="40">
        <f>IF(J66="","",(K66/J66)/1000)</f>
        <v>0</v>
      </c>
      <c r="N66" s="36"/>
      <c r="O66" s="38"/>
      <c r="P66" s="39"/>
      <c r="Q66" s="39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/>
      <c r="F67" s="38"/>
      <c r="G67" s="36"/>
      <c r="H67" s="36"/>
      <c r="I67" s="36"/>
      <c r="J67" s="36"/>
      <c r="K67" s="37">
        <f>IF(F67="","",C67*L$7)</f>
        <v>0</v>
      </c>
      <c r="L67" s="37"/>
      <c r="M67" s="40">
        <f>IF(J67="","",(K67/J67)/1000)</f>
        <v>0</v>
      </c>
      <c r="N67" s="36"/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/>
      <c r="F68" s="38"/>
      <c r="G68" s="36"/>
      <c r="H68" s="36"/>
      <c r="I68" s="36"/>
      <c r="J68" s="36"/>
      <c r="K68" s="37">
        <f>IF(F68="","",C68*L$7)</f>
        <v>0</v>
      </c>
      <c r="L68" s="37"/>
      <c r="M68" s="40">
        <f>IF(J68="","",(K68/J68)/1000)</f>
        <v>0</v>
      </c>
      <c r="N68" s="36"/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0</v>
      </c>
      <c r="F69" s="38"/>
      <c r="G69" s="36"/>
      <c r="H69" s="36"/>
      <c r="I69" s="36"/>
      <c r="J69" s="36"/>
      <c r="K69" s="37">
        <f>IF(F69="","",C69*L$7)</f>
        <v>0</v>
      </c>
      <c r="L69" s="37"/>
      <c r="M69" s="40">
        <f>IF(J69="","",(K69/J69)/1000)</f>
        <v>0</v>
      </c>
      <c r="N69" s="36"/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0</v>
      </c>
      <c r="F70" s="38"/>
      <c r="G70" s="36"/>
      <c r="H70" s="36"/>
      <c r="I70" s="36"/>
      <c r="J70" s="36"/>
      <c r="K70" s="37">
        <f>IF(F70="","",C70*L$7)</f>
        <v>0</v>
      </c>
      <c r="L70" s="37"/>
      <c r="M70" s="40">
        <f>IF(J70="","",(K70/J70)/1000)</f>
        <v>0</v>
      </c>
      <c r="N70" s="36"/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0</v>
      </c>
      <c r="F71" s="38"/>
      <c r="G71" s="36"/>
      <c r="H71" s="36"/>
      <c r="I71" s="36"/>
      <c r="J71" s="36"/>
      <c r="K71" s="37">
        <f>IF(F71="","",C71*L$7)</f>
        <v>0</v>
      </c>
      <c r="L71" s="37"/>
      <c r="M71" s="40">
        <f>IF(J71="","",(K71/J71)/1000)</f>
        <v>0</v>
      </c>
      <c r="N71" s="36"/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0</v>
      </c>
      <c r="F72" s="38"/>
      <c r="G72" s="36"/>
      <c r="H72" s="36"/>
      <c r="I72" s="36"/>
      <c r="J72" s="36"/>
      <c r="K72" s="37">
        <f>IF(F72="","",C72*L$7)</f>
        <v>0</v>
      </c>
      <c r="L72" s="37"/>
      <c r="M72" s="40">
        <f>IF(J72="","",(K72/J72)/1000)</f>
        <v>0</v>
      </c>
      <c r="N72" s="36"/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0</v>
      </c>
      <c r="F73" s="38"/>
      <c r="G73" s="36"/>
      <c r="H73" s="36"/>
      <c r="I73" s="36"/>
      <c r="J73" s="36"/>
      <c r="K73" s="37">
        <f>IF(F73="","",C73*L$7)</f>
        <v>0</v>
      </c>
      <c r="L73" s="37"/>
      <c r="M73" s="40">
        <f>IF(J73="","",(K73/J73)/1000)</f>
        <v>0</v>
      </c>
      <c r="N73" s="36"/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0</v>
      </c>
      <c r="F74" s="38"/>
      <c r="G74" s="36"/>
      <c r="H74" s="36"/>
      <c r="I74" s="36"/>
      <c r="J74" s="36"/>
      <c r="K74" s="37">
        <f>IF(F74="","",C74*L$7)</f>
        <v>0</v>
      </c>
      <c r="L74" s="37"/>
      <c r="M74" s="40">
        <f>IF(J74="","",(K74/J74)/1000)</f>
        <v>0</v>
      </c>
      <c r="N74" s="36"/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0</v>
      </c>
      <c r="F75" s="38"/>
      <c r="G75" s="36"/>
      <c r="H75" s="36"/>
      <c r="I75" s="36"/>
      <c r="J75" s="36"/>
      <c r="K75" s="37">
        <f>IF(F75="","",C75*L$7)</f>
        <v>0</v>
      </c>
      <c r="L75" s="37"/>
      <c r="M75" s="40">
        <f>IF(J75="","",(K75/J75)/1000)</f>
        <v>0</v>
      </c>
      <c r="N75" s="36"/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0</v>
      </c>
      <c r="F76" s="38"/>
      <c r="G76" s="36"/>
      <c r="H76" s="36"/>
      <c r="I76" s="36"/>
      <c r="J76" s="36"/>
      <c r="K76" s="37">
        <f>IF(F76="","",C76*L$7)</f>
        <v>0</v>
      </c>
      <c r="L76" s="37"/>
      <c r="M76" s="40">
        <f>IF(J76="","",(K76/J76)/1000)</f>
        <v>0</v>
      </c>
      <c r="N76" s="36"/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0</v>
      </c>
      <c r="F77" s="38"/>
      <c r="G77" s="36"/>
      <c r="H77" s="36"/>
      <c r="I77" s="36"/>
      <c r="J77" s="36"/>
      <c r="K77" s="37">
        <f>IF(F77="","",C77*L$7)</f>
        <v>0</v>
      </c>
      <c r="L77" s="37"/>
      <c r="M77" s="40">
        <f>IF(J77="","",(K77/J77)/1000)</f>
        <v>0</v>
      </c>
      <c r="N77" s="36"/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0</v>
      </c>
      <c r="F78" s="38"/>
      <c r="G78" s="36"/>
      <c r="H78" s="36"/>
      <c r="I78" s="36"/>
      <c r="J78" s="36"/>
      <c r="K78" s="37">
        <f>IF(F78="","",C78*L$7)</f>
        <v>0</v>
      </c>
      <c r="L78" s="37"/>
      <c r="M78" s="40">
        <f>IF(J78="","",(K78/J78)/1000)</f>
        <v>0</v>
      </c>
      <c r="N78" s="36"/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0</v>
      </c>
      <c r="F79" s="38"/>
      <c r="G79" s="36"/>
      <c r="H79" s="36"/>
      <c r="I79" s="36"/>
      <c r="J79" s="36"/>
      <c r="K79" s="37">
        <f>IF(F79="","",C79*L$7)</f>
        <v>0</v>
      </c>
      <c r="L79" s="37"/>
      <c r="M79" s="40">
        <f>IF(J79="","",(K79/J79)/1000)</f>
        <v>0</v>
      </c>
      <c r="N79" s="36"/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0</v>
      </c>
      <c r="F80" s="38"/>
      <c r="G80" s="36"/>
      <c r="H80" s="36"/>
      <c r="I80" s="36"/>
      <c r="J80" s="36"/>
      <c r="K80" s="37">
        <f>IF(F80="","",C80*L$7)</f>
        <v>0</v>
      </c>
      <c r="L80" s="37"/>
      <c r="M80" s="40">
        <f>IF(J80="","",(K80/J80)/1000)</f>
        <v>0</v>
      </c>
      <c r="N80" s="36"/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0</v>
      </c>
      <c r="F81" s="38"/>
      <c r="G81" s="36"/>
      <c r="H81" s="36"/>
      <c r="I81" s="36"/>
      <c r="J81" s="36"/>
      <c r="K81" s="37">
        <f>IF(F81="","",C81*L$7)</f>
        <v>0</v>
      </c>
      <c r="L81" s="37"/>
      <c r="M81" s="40">
        <f>IF(J81="","",(K81/J81)/1000)</f>
        <v>0</v>
      </c>
      <c r="N81" s="36"/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0</v>
      </c>
      <c r="F82" s="38"/>
      <c r="G82" s="36"/>
      <c r="H82" s="36"/>
      <c r="I82" s="36"/>
      <c r="J82" s="36"/>
      <c r="K82" s="37">
        <f>IF(F82="","",C82*L$7)</f>
        <v>0</v>
      </c>
      <c r="L82" s="37"/>
      <c r="M82" s="40">
        <f>IF(J82="","",(K82/J82)/1000)</f>
        <v>0</v>
      </c>
      <c r="N82" s="36"/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0</v>
      </c>
      <c r="F83" s="38"/>
      <c r="G83" s="36"/>
      <c r="H83" s="36"/>
      <c r="I83" s="36"/>
      <c r="J83" s="36"/>
      <c r="K83" s="37">
        <f>IF(F83="","",C83*L$7)</f>
        <v>0</v>
      </c>
      <c r="L83" s="37"/>
      <c r="M83" s="40">
        <f>IF(J83="","",(K83/J83)/1000)</f>
        <v>0</v>
      </c>
      <c r="N83" s="36"/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0</v>
      </c>
      <c r="F84" s="38"/>
      <c r="G84" s="36"/>
      <c r="H84" s="36"/>
      <c r="I84" s="36"/>
      <c r="J84" s="36"/>
      <c r="K84" s="37">
        <f>IF(F84="","",C84*L$7)</f>
        <v>0</v>
      </c>
      <c r="L84" s="37"/>
      <c r="M84" s="40">
        <f>IF(J84="","",(K84/J84)/1000)</f>
        <v>0</v>
      </c>
      <c r="N84" s="36"/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0</v>
      </c>
      <c r="F85" s="38"/>
      <c r="G85" s="36"/>
      <c r="H85" s="36"/>
      <c r="I85" s="36"/>
      <c r="J85" s="36"/>
      <c r="K85" s="37">
        <f>IF(F85="","",C85*L$7)</f>
        <v>0</v>
      </c>
      <c r="L85" s="37"/>
      <c r="M85" s="40">
        <f>IF(J85="","",(K85/J85)/1000)</f>
        <v>0</v>
      </c>
      <c r="N85" s="36"/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0</v>
      </c>
      <c r="F86" s="38"/>
      <c r="G86" s="36"/>
      <c r="H86" s="36"/>
      <c r="I86" s="36"/>
      <c r="J86" s="36"/>
      <c r="K86" s="37">
        <f>IF(F86="","",C86*L$7)</f>
        <v>0</v>
      </c>
      <c r="L86" s="37"/>
      <c r="M86" s="40">
        <f>IF(J86="","",(K86/J86)/1000)</f>
        <v>0</v>
      </c>
      <c r="N86" s="36"/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0</v>
      </c>
      <c r="F87" s="38"/>
      <c r="G87" s="36"/>
      <c r="H87" s="36"/>
      <c r="I87" s="36"/>
      <c r="J87" s="36"/>
      <c r="K87" s="37">
        <f>IF(F87="","",C87*L$7)</f>
        <v>0</v>
      </c>
      <c r="L87" s="37"/>
      <c r="M87" s="40">
        <f>IF(J87="","",(K87/J87)/1000)</f>
        <v>0</v>
      </c>
      <c r="N87" s="36"/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0</v>
      </c>
      <c r="F88" s="38"/>
      <c r="G88" s="36"/>
      <c r="H88" s="36"/>
      <c r="I88" s="36"/>
      <c r="J88" s="36"/>
      <c r="K88" s="37">
        <f>IF(F88="","",C88*L$7)</f>
        <v>0</v>
      </c>
      <c r="L88" s="37"/>
      <c r="M88" s="40">
        <f>IF(J88="","",(K88/J88)/1000)</f>
        <v>0</v>
      </c>
      <c r="N88" s="36"/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0</v>
      </c>
      <c r="F89" s="38"/>
      <c r="G89" s="36"/>
      <c r="H89" s="36"/>
      <c r="I89" s="36"/>
      <c r="J89" s="36"/>
      <c r="K89" s="37">
        <f>IF(F89="","",C89*L$7)</f>
        <v>0</v>
      </c>
      <c r="L89" s="37"/>
      <c r="M89" s="40">
        <f>IF(J89="","",(K89/J89)/1000)</f>
        <v>0</v>
      </c>
      <c r="N89" s="36"/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0</v>
      </c>
      <c r="F90" s="38"/>
      <c r="G90" s="36"/>
      <c r="H90" s="36"/>
      <c r="I90" s="36"/>
      <c r="J90" s="36"/>
      <c r="K90" s="37">
        <f>IF(F90="","",C90*L$7)</f>
        <v>0</v>
      </c>
      <c r="L90" s="37"/>
      <c r="M90" s="40">
        <f>IF(J90="","",(K90/J90)/1000)</f>
        <v>0</v>
      </c>
      <c r="N90" s="36"/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0</v>
      </c>
      <c r="F91" s="38"/>
      <c r="G91" s="36"/>
      <c r="H91" s="36"/>
      <c r="I91" s="36"/>
      <c r="J91" s="36"/>
      <c r="K91" s="37">
        <f>IF(F91="","",C91*L$7)</f>
        <v>0</v>
      </c>
      <c r="L91" s="37"/>
      <c r="M91" s="40">
        <f>IF(J91="","",(K91/J91)/1000)</f>
        <v>0</v>
      </c>
      <c r="N91" s="36"/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0</v>
      </c>
      <c r="F92" s="38"/>
      <c r="G92" s="36"/>
      <c r="H92" s="36"/>
      <c r="I92" s="36"/>
      <c r="J92" s="36"/>
      <c r="K92" s="37">
        <f>IF(F92="","",C92*L$7)</f>
        <v>0</v>
      </c>
      <c r="L92" s="37"/>
      <c r="M92" s="40">
        <f>IF(J92="","",(K92/J92)/1000)</f>
        <v>0</v>
      </c>
      <c r="N92" s="36"/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0</v>
      </c>
      <c r="F93" s="38"/>
      <c r="G93" s="36"/>
      <c r="H93" s="36"/>
      <c r="I93" s="36"/>
      <c r="J93" s="36"/>
      <c r="K93" s="37">
        <f>IF(F93="","",C93*L$7)</f>
        <v>0</v>
      </c>
      <c r="L93" s="37"/>
      <c r="M93" s="40">
        <f>IF(J93="","",(K93/J93)/1000)</f>
        <v>0</v>
      </c>
      <c r="N93" s="36"/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0</v>
      </c>
      <c r="F94" s="38"/>
      <c r="G94" s="36"/>
      <c r="H94" s="36"/>
      <c r="I94" s="36"/>
      <c r="J94" s="36"/>
      <c r="K94" s="37">
        <f>IF(F94="","",C94*L$7)</f>
        <v>0</v>
      </c>
      <c r="L94" s="37"/>
      <c r="M94" s="40">
        <f>IF(J94="","",(K94/J94)/1000)</f>
        <v>0</v>
      </c>
      <c r="N94" s="36"/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0</v>
      </c>
      <c r="F95" s="38"/>
      <c r="G95" s="36"/>
      <c r="H95" s="36"/>
      <c r="I95" s="36"/>
      <c r="J95" s="36"/>
      <c r="K95" s="37">
        <f>IF(F95="","",C95*L$7)</f>
        <v>0</v>
      </c>
      <c r="L95" s="37"/>
      <c r="M95" s="40">
        <f>IF(J95="","",(K95/J95)/1000)</f>
        <v>0</v>
      </c>
      <c r="N95" s="36"/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0</v>
      </c>
      <c r="F96" s="38"/>
      <c r="G96" s="36"/>
      <c r="H96" s="36"/>
      <c r="I96" s="36"/>
      <c r="J96" s="36"/>
      <c r="K96" s="37">
        <f>IF(F96="","",C96*L$7)</f>
        <v>0</v>
      </c>
      <c r="L96" s="37"/>
      <c r="M96" s="40">
        <f>IF(J96="","",(K96/J96)/1000)</f>
        <v>0</v>
      </c>
      <c r="N96" s="36"/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0</v>
      </c>
      <c r="F97" s="38"/>
      <c r="G97" s="36"/>
      <c r="H97" s="36"/>
      <c r="I97" s="36"/>
      <c r="J97" s="36"/>
      <c r="K97" s="37">
        <f>IF(F97="","",C97*L$7)</f>
        <v>0</v>
      </c>
      <c r="L97" s="37"/>
      <c r="M97" s="40">
        <f>IF(J97="","",(K97/J97)/1000)</f>
        <v>0</v>
      </c>
      <c r="N97" s="36"/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0</v>
      </c>
      <c r="F98" s="38"/>
      <c r="G98" s="36"/>
      <c r="H98" s="36"/>
      <c r="I98" s="36"/>
      <c r="J98" s="36"/>
      <c r="K98" s="37">
        <f>IF(F98="","",C98*L$7)</f>
        <v>0</v>
      </c>
      <c r="L98" s="37"/>
      <c r="M98" s="40">
        <f>IF(J98="","",(K98/J98)/1000)</f>
        <v>0</v>
      </c>
      <c r="N98" s="36"/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0</v>
      </c>
      <c r="F99" s="38"/>
      <c r="G99" s="36"/>
      <c r="H99" s="36"/>
      <c r="I99" s="36"/>
      <c r="J99" s="36"/>
      <c r="K99" s="37">
        <f>IF(F99="","",C99*L$7)</f>
        <v>0</v>
      </c>
      <c r="L99" s="37"/>
      <c r="M99" s="40">
        <f>IF(J99="","",(K99/J99)/1000)</f>
        <v>0</v>
      </c>
      <c r="N99" s="36"/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0</v>
      </c>
      <c r="F100" s="38"/>
      <c r="G100" s="36"/>
      <c r="H100" s="36"/>
      <c r="I100" s="36"/>
      <c r="J100" s="36"/>
      <c r="K100" s="37">
        <f>IF(F100="","",C100*L$7)</f>
        <v>0</v>
      </c>
      <c r="L100" s="37"/>
      <c r="M100" s="40">
        <f>IF(J100="","",(K100/J100)/1000)</f>
        <v>0</v>
      </c>
      <c r="N100" s="36"/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0</v>
      </c>
      <c r="F101" s="38"/>
      <c r="G101" s="36"/>
      <c r="H101" s="36"/>
      <c r="I101" s="36"/>
      <c r="J101" s="36"/>
      <c r="K101" s="37">
        <f>IF(F101="","",C101*L$7)</f>
        <v>0</v>
      </c>
      <c r="L101" s="37"/>
      <c r="M101" s="40">
        <f>IF(J101="","",(K101/J101)/1000)</f>
        <v>0</v>
      </c>
      <c r="N101" s="36"/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0</v>
      </c>
      <c r="F102" s="38"/>
      <c r="G102" s="36"/>
      <c r="H102" s="36"/>
      <c r="I102" s="36"/>
      <c r="J102" s="36"/>
      <c r="K102" s="37">
        <f>IF(F102="","",C102*L$7)</f>
        <v>0</v>
      </c>
      <c r="L102" s="37"/>
      <c r="M102" s="40">
        <f>IF(J102="","",(K102/J102)/1000)</f>
        <v>0</v>
      </c>
      <c r="N102" s="36"/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0</v>
      </c>
      <c r="F103" s="38"/>
      <c r="G103" s="36"/>
      <c r="H103" s="36"/>
      <c r="I103" s="36"/>
      <c r="J103" s="36"/>
      <c r="K103" s="37">
        <f>IF(F103="","",C103*L$7)</f>
        <v>0</v>
      </c>
      <c r="L103" s="37"/>
      <c r="M103" s="40">
        <f>IF(J103="","",(K103/J103)/1000)</f>
        <v>0</v>
      </c>
      <c r="N103" s="36"/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0</v>
      </c>
      <c r="F104" s="38"/>
      <c r="G104" s="36"/>
      <c r="H104" s="36"/>
      <c r="I104" s="36"/>
      <c r="J104" s="36"/>
      <c r="K104" s="37">
        <f>IF(F104="","",C104*L$7)</f>
        <v>0</v>
      </c>
      <c r="L104" s="37"/>
      <c r="M104" s="40">
        <f>IF(J104="","",(K104/J104)/1000)</f>
        <v>0</v>
      </c>
      <c r="N104" s="36"/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0</v>
      </c>
      <c r="F105" s="38"/>
      <c r="G105" s="36"/>
      <c r="H105" s="36"/>
      <c r="I105" s="36"/>
      <c r="J105" s="36"/>
      <c r="K105" s="37">
        <f>IF(F105="","",C105*L$7)</f>
        <v>0</v>
      </c>
      <c r="L105" s="37"/>
      <c r="M105" s="40">
        <f>IF(J105="","",(K105/J105)/1000)</f>
        <v>0</v>
      </c>
      <c r="N105" s="36"/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0</v>
      </c>
      <c r="F106" s="38"/>
      <c r="G106" s="36"/>
      <c r="H106" s="36"/>
      <c r="I106" s="36"/>
      <c r="J106" s="36"/>
      <c r="K106" s="37">
        <f>IF(F106="","",C106*L$7)</f>
        <v>0</v>
      </c>
      <c r="L106" s="37"/>
      <c r="M106" s="40">
        <f>IF(J106="","",(K106/J106)/1000)</f>
        <v>0</v>
      </c>
      <c r="N106" s="36"/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0</v>
      </c>
      <c r="F107" s="38"/>
      <c r="G107" s="36"/>
      <c r="H107" s="36"/>
      <c r="I107" s="36"/>
      <c r="J107" s="36"/>
      <c r="K107" s="37">
        <f>IF(F107="","",C107*L$7)</f>
        <v>0</v>
      </c>
      <c r="L107" s="37"/>
      <c r="M107" s="40">
        <f>IF(J107="","",(K107/J107)/1000)</f>
        <v>0</v>
      </c>
      <c r="N107" s="36"/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0</v>
      </c>
      <c r="F108" s="38"/>
      <c r="G108" s="36"/>
      <c r="H108" s="36"/>
      <c r="I108" s="36"/>
      <c r="J108" s="36"/>
      <c r="K108" s="37">
        <f>IF(F108="","",C108*L$7)</f>
        <v>0</v>
      </c>
      <c r="L108" s="37"/>
      <c r="M108" s="40">
        <f>IF(J108="","",(K108/J108)/1000)</f>
        <v>0</v>
      </c>
      <c r="N108" s="36"/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/>
      <c r="F109" s="38"/>
      <c r="G109" s="36"/>
      <c r="H109" s="36"/>
      <c r="I109" s="36"/>
      <c r="J109" s="36"/>
      <c r="K109" s="37">
        <f>IF(F109="","",C109*L$7)</f>
        <v>0</v>
      </c>
      <c r="L109" s="37"/>
      <c r="M109" s="40">
        <f>IF(J109="","",(K109/J109)/1000)</f>
        <v>0</v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D3" sqref="D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44</v>
      </c>
      <c r="E2" s="3"/>
      <c r="F2" s="2" t="s">
        <v>2</v>
      </c>
      <c r="G2" s="2"/>
      <c r="H2" s="3" t="s">
        <v>46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2902848.9253886123</v>
      </c>
      <c r="E4" s="8"/>
      <c r="F4" s="2" t="s">
        <v>11</v>
      </c>
      <c r="G4" s="2"/>
      <c r="H4" s="9">
        <f>SUM($T$9:$U$109)</f>
        <v>1287.3999999999987</v>
      </c>
      <c r="I4" s="9"/>
      <c r="J4" s="10" t="s">
        <v>12</v>
      </c>
      <c r="K4" s="10"/>
      <c r="L4" s="4">
        <f>MAX($C$9:$D$991)-C9</f>
        <v>2902848.9253886123</v>
      </c>
      <c r="M4" s="4"/>
      <c r="N4" s="10" t="s">
        <v>13</v>
      </c>
      <c r="O4" s="10"/>
      <c r="P4" s="8">
        <f>MIN($C$9:$D$991)-C9</f>
        <v>-28609.292627919465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34</v>
      </c>
      <c r="D5" s="2" t="s">
        <v>15</v>
      </c>
      <c r="E5" s="13">
        <f>COUNTIF($R$9:$R$991,"&lt;0")</f>
        <v>16</v>
      </c>
      <c r="F5" s="2" t="s">
        <v>16</v>
      </c>
      <c r="G5" s="12">
        <f>COUNTIF($R$9:$R$991,"=0")</f>
        <v>0</v>
      </c>
      <c r="H5" s="2" t="s">
        <v>17</v>
      </c>
      <c r="I5" s="14">
        <f>C5/SUM(C5,E5,G5)</f>
        <v>0.68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2010</v>
      </c>
      <c r="F9" s="38">
        <v>1</v>
      </c>
      <c r="G9" s="36" t="s">
        <v>36</v>
      </c>
      <c r="H9" s="39">
        <v>1.3494000000000002</v>
      </c>
      <c r="I9" s="39"/>
      <c r="J9" s="36">
        <f>ABS(H9-1.3437)*10000</f>
        <v>57.000000000000384</v>
      </c>
      <c r="K9" s="37">
        <f>IF(F9="","",C9*L$7)</f>
        <v>30000</v>
      </c>
      <c r="L9" s="37"/>
      <c r="M9" s="40">
        <f>IF(J9="","",(K9/J9)/1000)</f>
        <v>0.5263157894736806</v>
      </c>
      <c r="N9" s="36">
        <v>2010</v>
      </c>
      <c r="O9" s="38">
        <v>1</v>
      </c>
      <c r="P9" s="39">
        <v>1.35308</v>
      </c>
      <c r="Q9" s="39"/>
      <c r="R9" s="41">
        <f>IF(O9="","",(IF(G9="売",H9-P9,P9-H9))*M9*10000000)</f>
        <v>19368.42105263095</v>
      </c>
      <c r="S9" s="41"/>
      <c r="T9" s="42">
        <f>IF(O9="","",IF(R9&lt;0,J9*(-1),IF(G9="買",(P9-H9)*10000,(H9-P9)*10000)))</f>
        <v>36.79999999999906</v>
      </c>
      <c r="U9" s="42"/>
      <c r="V9" s="43">
        <f>IF(T9&gt;0,T9/J9,0)</f>
        <v>0.6456140350876984</v>
      </c>
    </row>
    <row r="10" spans="2:22" ht="12.75">
      <c r="B10" s="36">
        <v>2</v>
      </c>
      <c r="C10" s="37">
        <f>IF(R9="","",C9+R9)</f>
        <v>1019368.421052631</v>
      </c>
      <c r="D10" s="37"/>
      <c r="E10" s="36">
        <f>E9</f>
        <v>2010</v>
      </c>
      <c r="F10" s="38">
        <v>2</v>
      </c>
      <c r="G10" s="36" t="s">
        <v>37</v>
      </c>
      <c r="H10" s="39">
        <v>1.3523</v>
      </c>
      <c r="I10" s="39"/>
      <c r="J10" s="36">
        <f>ABS(H10-1.3561)*10000</f>
        <v>38.000000000000256</v>
      </c>
      <c r="K10" s="37">
        <f>IF(F10="","",C10*L$7)</f>
        <v>30581.05263157893</v>
      </c>
      <c r="L10" s="37"/>
      <c r="M10" s="40">
        <f>IF(J10="","",(K10/J10)/1000)</f>
        <v>0.8047645429362822</v>
      </c>
      <c r="N10" s="36">
        <f>N9</f>
        <v>2010</v>
      </c>
      <c r="O10" s="38">
        <v>2</v>
      </c>
      <c r="P10" s="39">
        <v>1.34932</v>
      </c>
      <c r="Q10" s="39"/>
      <c r="R10" s="41">
        <f>IF(O10="","",(IF(G10="売",H10-P10,P10-H10))*M10*10000000)</f>
        <v>23981.98337950107</v>
      </c>
      <c r="S10" s="41"/>
      <c r="T10" s="42">
        <f>IF(O10="","",IF(R10&lt;0,J10*(-1),IF(G10="買",(P10-H10)*10000,(H10-P10)*10000)))</f>
        <v>29.799999999999827</v>
      </c>
      <c r="U10" s="42"/>
      <c r="V10" s="43">
        <f>IF(T10&gt;0,T10/J10,0)</f>
        <v>0.7842105263157796</v>
      </c>
    </row>
    <row r="11" spans="2:22" s="53" customFormat="1" ht="12.75">
      <c r="B11" s="36">
        <v>3</v>
      </c>
      <c r="C11" s="37">
        <f>IF(R10="","",C10+R10)</f>
        <v>1043350.404432132</v>
      </c>
      <c r="D11" s="37"/>
      <c r="E11" s="36">
        <f>E10</f>
        <v>2010</v>
      </c>
      <c r="F11" s="38">
        <v>3</v>
      </c>
      <c r="G11" s="36" t="s">
        <v>37</v>
      </c>
      <c r="H11" s="39">
        <v>1.3601</v>
      </c>
      <c r="I11" s="39"/>
      <c r="J11" s="36">
        <f>ABS(H11-P11)*10000</f>
        <v>40.99999999999993</v>
      </c>
      <c r="K11" s="37">
        <f>IF(F11="","",C11*L$7)</f>
        <v>31300.51213296396</v>
      </c>
      <c r="L11" s="37"/>
      <c r="M11" s="40">
        <f>IF(J11="","",(K11/J11)/1000)</f>
        <v>0.7634271251942443</v>
      </c>
      <c r="N11" s="36">
        <f>N10</f>
        <v>2010</v>
      </c>
      <c r="O11" s="38">
        <v>3</v>
      </c>
      <c r="P11" s="39">
        <v>1.3642</v>
      </c>
      <c r="Q11" s="39"/>
      <c r="R11" s="41">
        <f>IF(O11="","",(IF(G11="売",H11-P11,P11-H11))*M11*10000000)</f>
        <v>-31300.51213296396</v>
      </c>
      <c r="S11" s="41"/>
      <c r="T11" s="42">
        <f>IF(O11="","",IF(R11&lt;0,J11*(-1),IF(G11="買",(P11-H11)*10000,(H11-P11)*10000)))</f>
        <v>-40.99999999999993</v>
      </c>
      <c r="U11" s="42"/>
      <c r="V11" s="54">
        <f>IF(T11&gt;0,T11/J11,0)</f>
        <v>0</v>
      </c>
    </row>
    <row r="12" spans="2:22" ht="12.75">
      <c r="B12" s="36">
        <v>4</v>
      </c>
      <c r="C12" s="37">
        <f>IF(R11="","",C11+R11)</f>
        <v>1012049.892299168</v>
      </c>
      <c r="D12" s="37"/>
      <c r="E12" s="36">
        <f>E11</f>
        <v>2010</v>
      </c>
      <c r="F12" s="38">
        <v>4</v>
      </c>
      <c r="G12" s="36" t="s">
        <v>37</v>
      </c>
      <c r="H12" s="39">
        <v>1.407</v>
      </c>
      <c r="I12" s="39"/>
      <c r="J12" s="36">
        <f>ABS(H12-1.4158)*10000</f>
        <v>87.99999999999919</v>
      </c>
      <c r="K12" s="37">
        <f>IF(F12="","",C12*L$7)</f>
        <v>30361.49676897504</v>
      </c>
      <c r="L12" s="37"/>
      <c r="M12" s="40">
        <f>IF(J12="","",(K12/J12)/1000)</f>
        <v>0.3450170087383559</v>
      </c>
      <c r="N12" s="36">
        <f>N11</f>
        <v>2010</v>
      </c>
      <c r="O12" s="38">
        <v>4</v>
      </c>
      <c r="P12" s="39">
        <v>1.4011</v>
      </c>
      <c r="Q12" s="39"/>
      <c r="R12" s="41">
        <f>IF(O12="","",(IF(G12="売",H12-P12,P12-H12))*M12*10000000)</f>
        <v>20356.003515563058</v>
      </c>
      <c r="S12" s="41"/>
      <c r="T12" s="42">
        <f>IF(O12="","",IF(R12&lt;0,J12*(-1),IF(G12="買",(P12-H12)*10000,(H12-P12)*10000)))</f>
        <v>59.00000000000016</v>
      </c>
      <c r="U12" s="42"/>
      <c r="V12" s="43">
        <f>IF(T12&gt;0,T12/J12,0)</f>
        <v>0.6704545454545535</v>
      </c>
    </row>
    <row r="13" spans="2:22" s="53" customFormat="1" ht="12.75">
      <c r="B13" s="36">
        <v>5</v>
      </c>
      <c r="C13" s="37">
        <f>IF(R12="","",C12+R12)</f>
        <v>1032405.8958147311</v>
      </c>
      <c r="D13" s="37"/>
      <c r="E13" s="36">
        <f>E12</f>
        <v>2010</v>
      </c>
      <c r="F13" s="38">
        <v>5</v>
      </c>
      <c r="G13" s="36" t="s">
        <v>36</v>
      </c>
      <c r="H13" s="39">
        <v>1.387</v>
      </c>
      <c r="I13" s="39"/>
      <c r="J13" s="36">
        <f>ABS(H13-P13)*10000</f>
        <v>34.000000000000696</v>
      </c>
      <c r="K13" s="37">
        <f>IF(F13="","",C13*L$7)</f>
        <v>30972.17687444193</v>
      </c>
      <c r="L13" s="37"/>
      <c r="M13" s="40">
        <f>IF(J13="","",(K13/J13)/1000)</f>
        <v>0.9109463786600381</v>
      </c>
      <c r="N13" s="36">
        <f>N12</f>
        <v>2010</v>
      </c>
      <c r="O13" s="38">
        <v>5</v>
      </c>
      <c r="P13" s="36">
        <v>1.3836</v>
      </c>
      <c r="Q13" s="36"/>
      <c r="R13" s="41">
        <f>IF(O13="","",(IF(G13="売",H13-P13,P13-H13))*M13*10000000)</f>
        <v>-30972.176874441928</v>
      </c>
      <c r="S13" s="41"/>
      <c r="T13" s="42">
        <f>IF(O13="","",IF(R13&lt;0,J13*(-1),IF(G13="買",(P13-H13)*10000,(H13-P13)*10000)))</f>
        <v>-34.000000000000696</v>
      </c>
      <c r="U13" s="42"/>
      <c r="V13" s="54">
        <f>IF(T13&gt;0,T13/J13,0)</f>
        <v>0</v>
      </c>
    </row>
    <row r="14" spans="2:22" ht="12.75">
      <c r="B14" s="36">
        <v>6</v>
      </c>
      <c r="C14" s="37">
        <f>IF(R13="","",C13+R13)</f>
        <v>1001433.7189402892</v>
      </c>
      <c r="D14" s="37"/>
      <c r="E14" s="36">
        <f>E13</f>
        <v>2010</v>
      </c>
      <c r="F14" s="38">
        <v>6</v>
      </c>
      <c r="G14" s="36" t="s">
        <v>36</v>
      </c>
      <c r="H14" s="39">
        <v>1.3855</v>
      </c>
      <c r="I14" s="39"/>
      <c r="J14" s="36">
        <f>ABS(H14-P14)*10000</f>
        <v>31.999999999998696</v>
      </c>
      <c r="K14" s="37">
        <f>IF(F14="","",C14*L$7)</f>
        <v>30043.011568208676</v>
      </c>
      <c r="L14" s="37"/>
      <c r="M14" s="40">
        <f>IF(J14="","",(K14/J14)/1000)</f>
        <v>0.9388441115065593</v>
      </c>
      <c r="N14" s="36">
        <f>N13</f>
        <v>2010</v>
      </c>
      <c r="O14" s="38">
        <v>6</v>
      </c>
      <c r="P14" s="36">
        <v>1.3823</v>
      </c>
      <c r="Q14" s="36"/>
      <c r="R14" s="41">
        <f>IF(O14="","",(IF(G14="売",H14-P14,P14-H14))*M14*10000000)</f>
        <v>-30043.011568208676</v>
      </c>
      <c r="S14" s="41"/>
      <c r="T14" s="42">
        <f>IF(O14="","",IF(R14&lt;0,J14*(-1),IF(G14="買",(P14-H14)*10000,(H14-P14)*10000)))</f>
        <v>-31.999999999998696</v>
      </c>
      <c r="U14" s="42"/>
      <c r="V14" s="43">
        <f>IF(T14&gt;0,T14/J14,0)</f>
        <v>0</v>
      </c>
    </row>
    <row r="15" spans="2:22" ht="12.75">
      <c r="B15" s="36">
        <v>7</v>
      </c>
      <c r="C15" s="37">
        <f>IF(R14="","",C14+R14)</f>
        <v>971390.7073720805</v>
      </c>
      <c r="D15" s="37"/>
      <c r="E15" s="36">
        <f>E14</f>
        <v>2010</v>
      </c>
      <c r="F15" s="38">
        <v>7</v>
      </c>
      <c r="G15" s="36" t="s">
        <v>36</v>
      </c>
      <c r="H15" s="39">
        <v>1.322</v>
      </c>
      <c r="I15" s="39"/>
      <c r="J15" s="36">
        <f>ABS(H15-1.318)*10000</f>
        <v>40.000000000000036</v>
      </c>
      <c r="K15" s="37">
        <f>IF(F15="","",C15*L$7)</f>
        <v>29141.721221162414</v>
      </c>
      <c r="L15" s="37"/>
      <c r="M15" s="40">
        <f>IF(J15="","",(K15/J15)/1000)</f>
        <v>0.7285430305290597</v>
      </c>
      <c r="N15" s="36">
        <f>N14</f>
        <v>2010</v>
      </c>
      <c r="O15" s="38">
        <v>7</v>
      </c>
      <c r="P15" s="39">
        <v>1.32591</v>
      </c>
      <c r="Q15" s="39"/>
      <c r="R15" s="41">
        <f>IF(O15="","",(IF(G15="売",H15-P15,P15-H15))*M15*10000000)</f>
        <v>28486.032493685198</v>
      </c>
      <c r="S15" s="41"/>
      <c r="T15" s="42">
        <f>IF(O15="","",IF(R15&lt;0,J15*(-1),IF(G15="買",(P15-H15)*10000,(H15-P15)*10000)))</f>
        <v>39.09999999999858</v>
      </c>
      <c r="U15" s="42"/>
      <c r="V15" s="43">
        <f>IF(T15&gt;0,T15/J15,0)</f>
        <v>0.9774999999999636</v>
      </c>
    </row>
    <row r="16" spans="2:22" ht="12.75">
      <c r="B16" s="36">
        <v>8</v>
      </c>
      <c r="C16" s="37">
        <f>IF(R15="","",C15+R15)</f>
        <v>999876.7398657657</v>
      </c>
      <c r="D16" s="37"/>
      <c r="E16" s="36">
        <f>E15</f>
        <v>2010</v>
      </c>
      <c r="F16" s="38">
        <v>8</v>
      </c>
      <c r="G16" s="36" t="s">
        <v>37</v>
      </c>
      <c r="H16" s="36">
        <v>1.43913</v>
      </c>
      <c r="I16" s="36"/>
      <c r="J16" s="36">
        <f>ABS(H16-1.43446)*10000</f>
        <v>46.69999999999952</v>
      </c>
      <c r="K16" s="37">
        <f>IF(F16="","",C16*L$7)</f>
        <v>29996.30219597297</v>
      </c>
      <c r="L16" s="37"/>
      <c r="M16" s="40">
        <f>IF(J16="","",(K16/J16)/1000)</f>
        <v>0.6423191048388283</v>
      </c>
      <c r="N16" s="36">
        <f>N15</f>
        <v>2010</v>
      </c>
      <c r="O16" s="38">
        <v>8</v>
      </c>
      <c r="P16" s="36">
        <v>1.42314</v>
      </c>
      <c r="Q16" s="36"/>
      <c r="R16" s="41">
        <f>IF(O16="","",(IF(G16="売",H16-P16,P16-H16))*M16*10000000)</f>
        <v>102706.82486372831</v>
      </c>
      <c r="S16" s="41"/>
      <c r="T16" s="42">
        <f>IF(O16="","",IF(R16&lt;0,J16*(-1),IF(G16="買",(P16-H16)*10000,(H16-P16)*10000)))</f>
        <v>159.8999999999995</v>
      </c>
      <c r="U16" s="42"/>
      <c r="V16" s="43">
        <f>IF(T16&gt;0,T16/J16,0)</f>
        <v>3.4239828693790395</v>
      </c>
    </row>
    <row r="17" spans="2:22" ht="12.75">
      <c r="B17" s="36">
        <v>9</v>
      </c>
      <c r="C17" s="37">
        <f>IF(R16="","",C16+R16)</f>
        <v>1102583.564729494</v>
      </c>
      <c r="D17" s="37"/>
      <c r="E17" s="36">
        <f>E16</f>
        <v>2010</v>
      </c>
      <c r="F17" s="38">
        <v>9</v>
      </c>
      <c r="G17" s="36" t="s">
        <v>37</v>
      </c>
      <c r="H17" s="36">
        <v>1.44942</v>
      </c>
      <c r="I17" s="36"/>
      <c r="J17" s="36">
        <f>ABS(H17-P17)*10000</f>
        <v>42.800000000000615</v>
      </c>
      <c r="K17" s="37">
        <f>IF(F17="","",C17*L$7)</f>
        <v>33077.50694188482</v>
      </c>
      <c r="L17" s="37"/>
      <c r="M17" s="40">
        <f>IF(J17="","",(K17/J17)/1000)</f>
        <v>0.7728389472402885</v>
      </c>
      <c r="N17" s="36">
        <f>N16</f>
        <v>2010</v>
      </c>
      <c r="O17" s="38">
        <v>9</v>
      </c>
      <c r="P17" s="36">
        <v>1.4537</v>
      </c>
      <c r="Q17" s="36"/>
      <c r="R17" s="41">
        <f>IF(O17="","",(IF(G17="売",H17-P17,P17-H17))*M17*10000000)</f>
        <v>-33077.50694188482</v>
      </c>
      <c r="S17" s="41"/>
      <c r="T17" s="42">
        <f>IF(O17="","",IF(R17&lt;0,J17*(-1),IF(G17="買",(P17-H17)*10000,(H17-P17)*10000)))</f>
        <v>-42.800000000000615</v>
      </c>
      <c r="U17" s="42"/>
      <c r="V17" s="43">
        <f>IF(T17&gt;0,T17/J17,0)</f>
        <v>0</v>
      </c>
    </row>
    <row r="18" spans="2:22" ht="12.75">
      <c r="B18" s="36">
        <v>10</v>
      </c>
      <c r="C18" s="37">
        <f>IF(R17="","",C17+R17)</f>
        <v>1069506.0577876093</v>
      </c>
      <c r="D18" s="37"/>
      <c r="E18" s="36">
        <f>E17</f>
        <v>2010</v>
      </c>
      <c r="F18" s="38">
        <v>10</v>
      </c>
      <c r="G18" s="36" t="s">
        <v>36</v>
      </c>
      <c r="H18" s="39">
        <v>1.41702</v>
      </c>
      <c r="I18" s="39"/>
      <c r="J18" s="36">
        <f>ABS(H18-1.41027)*10000</f>
        <v>67.49999999999812</v>
      </c>
      <c r="K18" s="37">
        <f>IF(F18="","",C18*L$7)</f>
        <v>32085.181733628277</v>
      </c>
      <c r="L18" s="37"/>
      <c r="M18" s="40">
        <f>IF(J18="","",(K18/J18)/1000)</f>
        <v>0.47533602568339506</v>
      </c>
      <c r="N18" s="36">
        <f>N17</f>
        <v>2010</v>
      </c>
      <c r="O18" s="38">
        <v>10</v>
      </c>
      <c r="P18" s="36">
        <v>1.42162</v>
      </c>
      <c r="Q18" s="36"/>
      <c r="R18" s="41">
        <f>IF(O18="","",(IF(G18="売",H18-P18,P18-H18))*M18*10000000)</f>
        <v>21865.45718143693</v>
      </c>
      <c r="S18" s="41"/>
      <c r="T18" s="42">
        <f>IF(O18="","",IF(R18&lt;0,J18*(-1),IF(G18="買",(P18-H18)*10000,(H18-P18)*10000)))</f>
        <v>46.00000000000159</v>
      </c>
      <c r="U18" s="42"/>
      <c r="V18" s="43">
        <f>IF(T18&gt;0,T18/J18,0)</f>
        <v>0.681481481481524</v>
      </c>
    </row>
    <row r="19" spans="2:22" ht="12.75">
      <c r="B19" s="36">
        <v>11</v>
      </c>
      <c r="C19" s="37">
        <f>IF(R18="","",C18+R18)</f>
        <v>1091371.5149690462</v>
      </c>
      <c r="D19" s="37"/>
      <c r="E19" s="36">
        <f>E18</f>
        <v>2010</v>
      </c>
      <c r="F19" s="38">
        <v>11</v>
      </c>
      <c r="G19" s="36" t="s">
        <v>37</v>
      </c>
      <c r="H19" s="36">
        <v>1.38834</v>
      </c>
      <c r="I19" s="36"/>
      <c r="J19" s="36">
        <f>ABS(H19-1.39312)*10000</f>
        <v>47.800000000002285</v>
      </c>
      <c r="K19" s="37">
        <f>IF(F19="","",C19*L$7)</f>
        <v>32741.145449071384</v>
      </c>
      <c r="L19" s="37"/>
      <c r="M19" s="40">
        <f>IF(J19="","",(K19/J19)/1000)</f>
        <v>0.6849612018633853</v>
      </c>
      <c r="N19" s="36">
        <f>N18</f>
        <v>2010</v>
      </c>
      <c r="O19" s="38">
        <v>11</v>
      </c>
      <c r="P19" s="36">
        <v>1.38254</v>
      </c>
      <c r="Q19" s="36"/>
      <c r="R19" s="41">
        <f>IF(O19="","",(IF(G19="売",H19-P19,P19-H19))*M19*10000000)</f>
        <v>39727.74970807501</v>
      </c>
      <c r="S19" s="41"/>
      <c r="T19" s="42">
        <f>IF(O19="","",IF(R19&lt;0,J19*(-1),IF(G19="買",(P19-H19)*10000,(H19-P19)*10000)))</f>
        <v>57.99999999999805</v>
      </c>
      <c r="U19" s="42"/>
      <c r="V19" s="43">
        <f>IF(T19&gt;0,T19/J19,0)</f>
        <v>1.2133891213388135</v>
      </c>
    </row>
    <row r="20" spans="2:22" ht="12.75">
      <c r="B20" s="36">
        <v>12</v>
      </c>
      <c r="C20" s="37">
        <f>IF(R19="","",C19+R19)</f>
        <v>1131099.2646771213</v>
      </c>
      <c r="D20" s="37"/>
      <c r="E20" s="36">
        <f>E19</f>
        <v>2010</v>
      </c>
      <c r="F20" s="38">
        <v>12</v>
      </c>
      <c r="G20" s="36" t="s">
        <v>37</v>
      </c>
      <c r="H20" s="36">
        <v>1.39118</v>
      </c>
      <c r="I20" s="36"/>
      <c r="J20" s="36">
        <f>ABS(H20-P20)*10000</f>
        <v>43.69999999999985</v>
      </c>
      <c r="K20" s="37">
        <f>IF(F20="","",C20*L$7)</f>
        <v>33932.977940313634</v>
      </c>
      <c r="L20" s="37"/>
      <c r="M20" s="40">
        <f>IF(J20="","",(K20/J20)/1000)</f>
        <v>0.7764983510369281</v>
      </c>
      <c r="N20" s="36">
        <f>N19</f>
        <v>2010</v>
      </c>
      <c r="O20" s="38">
        <v>12</v>
      </c>
      <c r="P20" s="36">
        <v>1.39555</v>
      </c>
      <c r="Q20" s="36"/>
      <c r="R20" s="41">
        <f>IF(O20="","",(IF(G20="売",H20-P20,P20-H20))*M20*10000000)</f>
        <v>-33932.97794031364</v>
      </c>
      <c r="S20" s="41"/>
      <c r="T20" s="42">
        <f>IF(O20="","",IF(R20&lt;0,J20*(-1),IF(G20="買",(P20-H20)*10000,(H20-P20)*10000)))</f>
        <v>-43.69999999999985</v>
      </c>
      <c r="U20" s="42"/>
      <c r="V20" s="43">
        <f>IF(T20&gt;0,T20/J20,0)</f>
        <v>0</v>
      </c>
    </row>
    <row r="21" spans="2:22" ht="12.75">
      <c r="B21" s="36">
        <v>13</v>
      </c>
      <c r="C21" s="37">
        <f>IF(R20="","",C20+R20)</f>
        <v>1097166.2867368076</v>
      </c>
      <c r="D21" s="37"/>
      <c r="E21" s="36">
        <f>E20</f>
        <v>2010</v>
      </c>
      <c r="F21" s="38">
        <v>13</v>
      </c>
      <c r="G21" s="36" t="s">
        <v>37</v>
      </c>
      <c r="H21" s="36">
        <v>1.34856</v>
      </c>
      <c r="I21" s="36"/>
      <c r="J21" s="36">
        <f>ABS(H21-1.35646)*10000</f>
        <v>79.00000000000018</v>
      </c>
      <c r="K21" s="37">
        <f>IF(F21="","",C21*L$7)</f>
        <v>32914.988602104226</v>
      </c>
      <c r="L21" s="37"/>
      <c r="M21" s="40">
        <f>IF(J21="","",(K21/J21)/1000)</f>
        <v>0.4166454253430905</v>
      </c>
      <c r="N21" s="36">
        <f>N20</f>
        <v>2010</v>
      </c>
      <c r="O21" s="38">
        <v>13</v>
      </c>
      <c r="P21" s="36">
        <v>1.3436</v>
      </c>
      <c r="Q21" s="36"/>
      <c r="R21" s="41">
        <f>IF(O21="","",(IF(G21="売",H21-P21,P21-H21))*M21*10000000)</f>
        <v>20665.613097017605</v>
      </c>
      <c r="S21" s="41"/>
      <c r="T21" s="42">
        <f>IF(O21="","",IF(R21&lt;0,J21*(-1),IF(G21="買",(P21-H21)*10000,(H21-P21)*10000)))</f>
        <v>49.600000000000755</v>
      </c>
      <c r="U21" s="42"/>
      <c r="V21" s="43">
        <f>IF(T21&gt;0,T21/J21,0)</f>
        <v>0.6278481012658309</v>
      </c>
    </row>
    <row r="22" spans="2:22" ht="12.75">
      <c r="B22" s="36">
        <v>14</v>
      </c>
      <c r="C22" s="37">
        <f>IF(R21="","",C21+R21)</f>
        <v>1117831.8998338252</v>
      </c>
      <c r="D22" s="37"/>
      <c r="E22" s="36">
        <f>E21</f>
        <v>2010</v>
      </c>
      <c r="F22" s="38">
        <v>14</v>
      </c>
      <c r="G22" s="36" t="s">
        <v>36</v>
      </c>
      <c r="H22" s="36">
        <v>1.33056</v>
      </c>
      <c r="I22" s="36"/>
      <c r="J22" s="36">
        <f>ABS(H22-1.32806)*10000</f>
        <v>24.999999999999467</v>
      </c>
      <c r="K22" s="37">
        <f>IF(F22="","",C22*L$7)</f>
        <v>33534.956995014756</v>
      </c>
      <c r="L22" s="37"/>
      <c r="M22" s="40">
        <f>IF(J22="","",(K22/J22)/1000)</f>
        <v>1.3413982798006188</v>
      </c>
      <c r="N22" s="36">
        <f>N21</f>
        <v>2010</v>
      </c>
      <c r="O22" s="38">
        <v>14</v>
      </c>
      <c r="P22" s="36">
        <v>1.33346</v>
      </c>
      <c r="Q22" s="36"/>
      <c r="R22" s="41">
        <f>IF(O22="","",(IF(G22="売",H22-P22,P22-H22))*M22*10000000)</f>
        <v>38900.550114219615</v>
      </c>
      <c r="S22" s="41"/>
      <c r="T22" s="42">
        <f>IF(O22="","",IF(R22&lt;0,J22*(-1),IF(G22="買",(P22-H22)*10000,(H22-P22)*10000)))</f>
        <v>29.000000000001247</v>
      </c>
      <c r="U22" s="42"/>
      <c r="V22" s="43">
        <f>IF(T22&gt;0,T22/J22,0)</f>
        <v>1.1600000000000745</v>
      </c>
    </row>
    <row r="23" spans="2:22" ht="12.75">
      <c r="B23" s="36">
        <v>15</v>
      </c>
      <c r="C23" s="37">
        <f>IF(R22="","",C22+R22)</f>
        <v>1156732.4499480447</v>
      </c>
      <c r="D23" s="37"/>
      <c r="E23" s="36">
        <f>E22</f>
        <v>2010</v>
      </c>
      <c r="F23" s="38">
        <v>15</v>
      </c>
      <c r="G23" s="36" t="s">
        <v>37</v>
      </c>
      <c r="H23" s="36">
        <v>1.32634</v>
      </c>
      <c r="I23" s="36"/>
      <c r="J23" s="36">
        <f>ABS(H23-P23)*10000</f>
        <v>24.199999999998667</v>
      </c>
      <c r="K23" s="37">
        <f>IF(F23="","",C23*L$7)</f>
        <v>34701.97349844134</v>
      </c>
      <c r="L23" s="37"/>
      <c r="M23" s="40">
        <f>IF(J23="","",(K23/J23)/1000)</f>
        <v>1.4339658470431096</v>
      </c>
      <c r="N23" s="36">
        <f>N22</f>
        <v>2010</v>
      </c>
      <c r="O23" s="38">
        <v>15</v>
      </c>
      <c r="P23" s="36">
        <v>1.32876</v>
      </c>
      <c r="Q23" s="36"/>
      <c r="R23" s="41">
        <f>IF(O23="","",(IF(G23="売",H23-P23,P23-H23))*M23*10000000)</f>
        <v>-34701.973498441344</v>
      </c>
      <c r="S23" s="41"/>
      <c r="T23" s="42">
        <f>IF(O23="","",IF(R23&lt;0,J23*(-1),IF(G23="買",(P23-H23)*10000,(H23-P23)*10000)))</f>
        <v>-24.199999999998667</v>
      </c>
      <c r="U23" s="42"/>
      <c r="V23" s="43">
        <f>IF(T23&gt;0,T23/J23,0)</f>
        <v>0</v>
      </c>
    </row>
    <row r="24" spans="2:22" ht="12.75">
      <c r="B24" s="36">
        <v>16</v>
      </c>
      <c r="C24" s="37">
        <f>IF(R23="","",C23+R23)</f>
        <v>1122030.4764496034</v>
      </c>
      <c r="D24" s="37"/>
      <c r="E24" s="36">
        <f>E23</f>
        <v>2010</v>
      </c>
      <c r="F24" s="38">
        <v>16</v>
      </c>
      <c r="G24" s="36" t="s">
        <v>36</v>
      </c>
      <c r="H24" s="36">
        <v>1.3119800000000001</v>
      </c>
      <c r="I24" s="36"/>
      <c r="J24" s="36">
        <f>ABS(H24-1.30955)*10000</f>
        <v>24.300000000001543</v>
      </c>
      <c r="K24" s="37">
        <f>IF(F24="","",C24*L$7)</f>
        <v>33660.9142934881</v>
      </c>
      <c r="L24" s="37"/>
      <c r="M24" s="40">
        <f>IF(J24="","",(K24/J24)/1000)</f>
        <v>1.3852228104315212</v>
      </c>
      <c r="N24" s="36">
        <f>N23</f>
        <v>2010</v>
      </c>
      <c r="O24" s="38">
        <v>16</v>
      </c>
      <c r="P24" s="36">
        <v>1.31447</v>
      </c>
      <c r="Q24" s="36"/>
      <c r="R24" s="41">
        <f>IF(O24="","",(IF(G24="売",H24-P24,P24-H24))*M24*10000000)</f>
        <v>34492.047979743234</v>
      </c>
      <c r="S24" s="41"/>
      <c r="T24" s="42">
        <f>IF(O24="","",IF(R24&lt;0,J24*(-1),IF(G24="買",(P24-H24)*10000,(H24-P24)*10000)))</f>
        <v>24.899999999998812</v>
      </c>
      <c r="U24" s="42"/>
      <c r="V24" s="43">
        <f>IF(T24&gt;0,T24/J24,0)</f>
        <v>1.0246913580245773</v>
      </c>
    </row>
    <row r="25" spans="2:22" ht="12.75">
      <c r="B25" s="36">
        <v>17</v>
      </c>
      <c r="C25" s="37">
        <f>IF(R24="","",C24+R24)</f>
        <v>1156522.5244293467</v>
      </c>
      <c r="D25" s="37"/>
      <c r="E25" s="36">
        <f>E24</f>
        <v>2010</v>
      </c>
      <c r="F25" s="38">
        <v>17</v>
      </c>
      <c r="G25" s="36" t="s">
        <v>36</v>
      </c>
      <c r="H25" s="36">
        <v>1.302</v>
      </c>
      <c r="I25" s="36"/>
      <c r="J25" s="36">
        <f>ABS(H25-1.30032)*10000</f>
        <v>16.799999999999038</v>
      </c>
      <c r="K25" s="37">
        <f>IF(F25="","",C25*L$7)</f>
        <v>34695.6757328804</v>
      </c>
      <c r="L25" s="37"/>
      <c r="M25" s="40">
        <f>IF(J25="","",(K25/J25)/1000)</f>
        <v>2.0652187936239517</v>
      </c>
      <c r="N25" s="36">
        <f>N24</f>
        <v>2010</v>
      </c>
      <c r="O25" s="38">
        <v>17</v>
      </c>
      <c r="P25" s="36">
        <v>1.30742</v>
      </c>
      <c r="Q25" s="36"/>
      <c r="R25" s="41">
        <f>IF(O25="","",(IF(G25="売",H25-P25,P25-H25))*M25*10000000)</f>
        <v>111934.85861441777</v>
      </c>
      <c r="S25" s="41"/>
      <c r="T25" s="42">
        <f>IF(O25="","",IF(R25&lt;0,J25*(-1),IF(G25="買",(P25-H25)*10000,(H25-P25)*10000)))</f>
        <v>54.199999999999804</v>
      </c>
      <c r="U25" s="42"/>
      <c r="V25" s="43">
        <f>IF(T25&gt;0,T25/J25,0)</f>
        <v>3.2261904761906495</v>
      </c>
    </row>
    <row r="26" spans="2:22" ht="12.75">
      <c r="B26" s="36">
        <v>18</v>
      </c>
      <c r="C26" s="37">
        <f>IF(R25="","",C25+R25)</f>
        <v>1268457.3830437644</v>
      </c>
      <c r="D26" s="37"/>
      <c r="E26" s="36">
        <f>E25</f>
        <v>2010</v>
      </c>
      <c r="F26" s="38">
        <v>18</v>
      </c>
      <c r="G26" s="36" t="s">
        <v>37</v>
      </c>
      <c r="H26" s="36">
        <v>1.31421</v>
      </c>
      <c r="I26" s="36"/>
      <c r="J26" s="36">
        <f>ABS(H26-1.31715)*10000</f>
        <v>29.399999999999427</v>
      </c>
      <c r="K26" s="37">
        <f>IF(F26="","",C26*L$7)</f>
        <v>38053.72149131293</v>
      </c>
      <c r="L26" s="37"/>
      <c r="M26" s="40">
        <f>IF(J26="","",(K26/J26)/1000)</f>
        <v>1.2943442684120297</v>
      </c>
      <c r="N26" s="36">
        <f>N25</f>
        <v>2010</v>
      </c>
      <c r="O26" s="38">
        <v>18</v>
      </c>
      <c r="P26" s="36">
        <v>1.3101500000000001</v>
      </c>
      <c r="Q26" s="36"/>
      <c r="R26" s="41">
        <f>IF(O26="","",(IF(G26="売",H26-P26,P26-H26))*M26*10000000)</f>
        <v>52550.37729752779</v>
      </c>
      <c r="S26" s="41"/>
      <c r="T26" s="42">
        <f>IF(O26="","",IF(R26&lt;0,J26*(-1),IF(G26="買",(P26-H26)*10000,(H26-P26)*10000)))</f>
        <v>40.599999999999525</v>
      </c>
      <c r="U26" s="42"/>
      <c r="V26" s="43">
        <f>IF(T26&gt;0,T26/J26,0)</f>
        <v>1.3809523809523918</v>
      </c>
    </row>
    <row r="27" spans="2:22" ht="12.75">
      <c r="B27" s="36">
        <v>19</v>
      </c>
      <c r="C27" s="37">
        <f>IF(R26="","",C26+R26)</f>
        <v>1321007.7603412922</v>
      </c>
      <c r="D27" s="37"/>
      <c r="E27" s="36">
        <f>E26</f>
        <v>2010</v>
      </c>
      <c r="F27" s="38">
        <v>19</v>
      </c>
      <c r="G27" s="36" t="s">
        <v>36</v>
      </c>
      <c r="H27" s="36">
        <v>1.23665</v>
      </c>
      <c r="I27" s="36"/>
      <c r="J27" s="36">
        <f>ABS(H27-P27)*10000</f>
        <v>31.399999999999206</v>
      </c>
      <c r="K27" s="37">
        <f>IF(F27="","",C27*L$7)</f>
        <v>39630.23281023877</v>
      </c>
      <c r="L27" s="37"/>
      <c r="M27" s="40">
        <f>IF(J27="","",(K27/J27)/1000)</f>
        <v>1.2621093251668718</v>
      </c>
      <c r="N27" s="36">
        <f>N26</f>
        <v>2010</v>
      </c>
      <c r="O27" s="38">
        <v>19</v>
      </c>
      <c r="P27" s="36">
        <v>1.23351</v>
      </c>
      <c r="Q27" s="36"/>
      <c r="R27" s="41">
        <f>IF(O27="","",(IF(G27="売",H27-P27,P27-H27))*M27*10000000)</f>
        <v>-39630.23281023878</v>
      </c>
      <c r="S27" s="41"/>
      <c r="T27" s="42">
        <f>IF(O27="","",IF(R27&lt;0,J27*(-1),IF(G27="買",(P27-H27)*10000,(H27-P27)*10000)))</f>
        <v>-31.399999999999206</v>
      </c>
      <c r="U27" s="42"/>
      <c r="V27" s="43">
        <f>IF(T27&gt;0,T27/J27,0)</f>
        <v>0</v>
      </c>
    </row>
    <row r="28" spans="2:22" ht="12.75">
      <c r="B28" s="36">
        <v>20</v>
      </c>
      <c r="C28" s="37">
        <f>IF(R27="","",C27+R27)</f>
        <v>1281377.5275310534</v>
      </c>
      <c r="D28" s="37"/>
      <c r="E28" s="36">
        <f>E27</f>
        <v>2010</v>
      </c>
      <c r="F28" s="38">
        <v>20</v>
      </c>
      <c r="G28" s="36" t="s">
        <v>36</v>
      </c>
      <c r="H28" s="36">
        <v>1.24787</v>
      </c>
      <c r="I28" s="36"/>
      <c r="J28" s="36">
        <f>ABS(H28-P28)*10000</f>
        <v>37.80000000000116</v>
      </c>
      <c r="K28" s="37">
        <f>IF(F28="","",C28*L$7)</f>
        <v>38441.3258259316</v>
      </c>
      <c r="L28" s="37"/>
      <c r="M28" s="40">
        <f>IF(J28="","",(K28/J28)/1000)</f>
        <v>1.016966291691281</v>
      </c>
      <c r="N28" s="36">
        <f>N27</f>
        <v>2010</v>
      </c>
      <c r="O28" s="38">
        <v>20</v>
      </c>
      <c r="P28" s="36">
        <v>1.24409</v>
      </c>
      <c r="Q28" s="36"/>
      <c r="R28" s="41">
        <f>IF(O28="","",(IF(G28="売",H28-P28,P28-H28))*M28*10000000)</f>
        <v>-38441.325825931606</v>
      </c>
      <c r="S28" s="41"/>
      <c r="T28" s="42">
        <f>IF(O28="","",IF(R28&lt;0,J28*(-1),IF(G28="買",(P28-H28)*10000,(H28-P28)*10000)))</f>
        <v>-37.80000000000116</v>
      </c>
      <c r="U28" s="42"/>
      <c r="V28" s="43">
        <f>IF(T28&gt;0,T28/J28,0)</f>
        <v>0</v>
      </c>
    </row>
    <row r="29" spans="2:22" ht="12.75">
      <c r="B29" s="36">
        <v>21</v>
      </c>
      <c r="C29" s="37">
        <f>IF(R28="","",C28+R28)</f>
        <v>1242936.201705122</v>
      </c>
      <c r="D29" s="37"/>
      <c r="E29" s="36">
        <f>E28</f>
        <v>2010</v>
      </c>
      <c r="F29" s="38">
        <v>21</v>
      </c>
      <c r="G29" s="36" t="s">
        <v>36</v>
      </c>
      <c r="H29" s="36">
        <v>1.22445</v>
      </c>
      <c r="I29" s="36"/>
      <c r="J29" s="36">
        <f>ABS(H29-P29)*10000</f>
        <v>82.59999999999934</v>
      </c>
      <c r="K29" s="37">
        <f>IF(F29="","",C29*L$7)</f>
        <v>37288.08605115365</v>
      </c>
      <c r="L29" s="37"/>
      <c r="M29" s="40">
        <f>IF(J29="","",(K29/J29)/1000)</f>
        <v>0.4514296132100962</v>
      </c>
      <c r="N29" s="36">
        <f>N28</f>
        <v>2010</v>
      </c>
      <c r="O29" s="38">
        <v>21</v>
      </c>
      <c r="P29" s="36">
        <v>1.21619</v>
      </c>
      <c r="Q29" s="36"/>
      <c r="R29" s="41">
        <f>IF(O29="","",(IF(G29="売",H29-P29,P29-H29))*M29*10000000)</f>
        <v>-37288.08605115365</v>
      </c>
      <c r="S29" s="41"/>
      <c r="T29" s="42">
        <f>IF(O29="","",IF(R29&lt;0,J29*(-1),IF(G29="買",(P29-H29)*10000,(H29-P29)*10000)))</f>
        <v>-82.59999999999934</v>
      </c>
      <c r="U29" s="42"/>
      <c r="V29" s="43">
        <f>IF(T29&gt;0,T29/J29,0)</f>
        <v>0</v>
      </c>
    </row>
    <row r="30" spans="2:22" ht="12.75">
      <c r="B30" s="36">
        <v>22</v>
      </c>
      <c r="C30" s="37">
        <f>IF(R29="","",C29+R29)</f>
        <v>1205648.1156539682</v>
      </c>
      <c r="D30" s="37"/>
      <c r="E30" s="36">
        <f>E29</f>
        <v>2010</v>
      </c>
      <c r="F30" s="38">
        <v>22</v>
      </c>
      <c r="G30" s="36" t="s">
        <v>37</v>
      </c>
      <c r="H30" s="36">
        <v>1.2286</v>
      </c>
      <c r="I30" s="36"/>
      <c r="J30" s="36">
        <f>ABS(H30-1.23612)*10000</f>
        <v>75.20000000000194</v>
      </c>
      <c r="K30" s="37">
        <f>IF(F30="","",C30*L$7)</f>
        <v>36169.443469619044</v>
      </c>
      <c r="L30" s="37"/>
      <c r="M30" s="40">
        <f>IF(J30="","",(K30/J30)/1000)</f>
        <v>0.4809766418832196</v>
      </c>
      <c r="N30" s="36">
        <f>N29</f>
        <v>2010</v>
      </c>
      <c r="O30" s="38">
        <v>22</v>
      </c>
      <c r="P30" s="36">
        <v>1.22618</v>
      </c>
      <c r="Q30" s="36"/>
      <c r="R30" s="41">
        <f>IF(O30="","",(IF(G30="売",H30-P30,P30-H30))*M30*10000000)</f>
        <v>11639.634733573273</v>
      </c>
      <c r="S30" s="41"/>
      <c r="T30" s="42">
        <f>IF(O30="","",IF(R30&lt;0,J30*(-1),IF(G30="買",(P30-H30)*10000,(H30-P30)*10000)))</f>
        <v>24.199999999998667</v>
      </c>
      <c r="U30" s="42"/>
      <c r="V30" s="43">
        <f>IF(T30&gt;0,T30/J30,0)</f>
        <v>0.32180851063827187</v>
      </c>
    </row>
    <row r="31" spans="2:22" ht="12.75">
      <c r="B31" s="36">
        <v>23</v>
      </c>
      <c r="C31" s="37">
        <f>IF(R30="","",C30+R30)</f>
        <v>1217287.7503875415</v>
      </c>
      <c r="D31" s="37"/>
      <c r="E31" s="36">
        <f>E30</f>
        <v>2010</v>
      </c>
      <c r="F31" s="38">
        <v>23</v>
      </c>
      <c r="G31" s="36" t="s">
        <v>37</v>
      </c>
      <c r="H31" s="36">
        <v>1.23665</v>
      </c>
      <c r="I31" s="36"/>
      <c r="J31" s="36">
        <f>ABS(H31-1.23814)*10000</f>
        <v>14.899999999999913</v>
      </c>
      <c r="K31" s="37">
        <f>IF(F31="","",C31*L$7)</f>
        <v>36518.632511626245</v>
      </c>
      <c r="L31" s="37"/>
      <c r="M31" s="40">
        <f>IF(J31="","",(K31/J31)/1000)</f>
        <v>2.4509149336662053</v>
      </c>
      <c r="N31" s="36">
        <f>N30</f>
        <v>2010</v>
      </c>
      <c r="O31" s="38">
        <v>23</v>
      </c>
      <c r="P31" s="36">
        <v>1.23318</v>
      </c>
      <c r="Q31" s="36"/>
      <c r="R31" s="41">
        <f>IF(O31="","",(IF(G31="売",H31-P31,P31-H31))*M31*10000000)</f>
        <v>85046.74819821939</v>
      </c>
      <c r="S31" s="41"/>
      <c r="T31" s="42">
        <f>IF(O31="","",IF(R31&lt;0,J31*(-1),IF(G31="買",(P31-H31)*10000,(H31-P31)*10000)))</f>
        <v>34.70000000000084</v>
      </c>
      <c r="U31" s="42"/>
      <c r="V31" s="43">
        <f>IF(T31&gt;0,T31/J31,0)</f>
        <v>2.3288590604027544</v>
      </c>
    </row>
    <row r="32" spans="2:22" ht="12.75">
      <c r="B32" s="36">
        <v>24</v>
      </c>
      <c r="C32" s="37">
        <f>IF(R31="","",C31+R31)</f>
        <v>1302334.4985857608</v>
      </c>
      <c r="D32" s="37"/>
      <c r="E32" s="36">
        <f>E31</f>
        <v>2010</v>
      </c>
      <c r="F32" s="38">
        <v>24</v>
      </c>
      <c r="G32" s="36" t="s">
        <v>36</v>
      </c>
      <c r="H32" s="36">
        <v>1.28435</v>
      </c>
      <c r="I32" s="36"/>
      <c r="J32" s="36">
        <f>ABS(H32-1.28239)*10000</f>
        <v>19.600000000001838</v>
      </c>
      <c r="K32" s="37">
        <f>IF(F32="","",C32*L$7)</f>
        <v>39070.034957572825</v>
      </c>
      <c r="L32" s="37"/>
      <c r="M32" s="40">
        <f>IF(J32="","",(K32/J32)/1000)</f>
        <v>1.9933691304882224</v>
      </c>
      <c r="N32" s="36">
        <f>N31</f>
        <v>2010</v>
      </c>
      <c r="O32" s="38">
        <v>24</v>
      </c>
      <c r="P32" s="36">
        <v>1.2918</v>
      </c>
      <c r="Q32" s="36"/>
      <c r="R32" s="41">
        <f>IF(O32="","",(IF(G32="売",H32-P32,P32-H32))*M32*10000000)</f>
        <v>148506.0002213717</v>
      </c>
      <c r="S32" s="41"/>
      <c r="T32" s="42">
        <f>IF(O32="","",IF(R32&lt;0,J32*(-1),IF(G32="買",(P32-H32)*10000,(H32-P32)*10000)))</f>
        <v>74.49999999999957</v>
      </c>
      <c r="U32" s="42"/>
      <c r="V32" s="43">
        <f>IF(T32&gt;0,T32/J32,0)</f>
        <v>3.801020408162887</v>
      </c>
    </row>
    <row r="33" spans="2:22" ht="12.75">
      <c r="B33" s="36">
        <v>25</v>
      </c>
      <c r="C33" s="37">
        <f>IF(R32="","",C32+R32)</f>
        <v>1450840.4988071325</v>
      </c>
      <c r="D33" s="37"/>
      <c r="E33" s="36">
        <f>E32</f>
        <v>2010</v>
      </c>
      <c r="F33" s="38">
        <v>25</v>
      </c>
      <c r="G33" s="36" t="s">
        <v>37</v>
      </c>
      <c r="H33" s="36">
        <v>1.29801</v>
      </c>
      <c r="I33" s="36"/>
      <c r="J33" s="36">
        <f>ABS(H33-1.30077)*10000</f>
        <v>27.599999999998737</v>
      </c>
      <c r="K33" s="37">
        <f>IF(F33="","",C33*L$7)</f>
        <v>43525.21496421397</v>
      </c>
      <c r="L33" s="37"/>
      <c r="M33" s="40">
        <f>IF(J33="","",(K33/J33)/1000)</f>
        <v>1.5770005421817377</v>
      </c>
      <c r="N33" s="36">
        <f>N32</f>
        <v>2010</v>
      </c>
      <c r="O33" s="38">
        <v>25</v>
      </c>
      <c r="P33" s="36">
        <v>1.29037</v>
      </c>
      <c r="Q33" s="36"/>
      <c r="R33" s="41">
        <f>IF(O33="","",(IF(G33="売",H33-P33,P33-H33))*M33*10000000)</f>
        <v>120482.8414226862</v>
      </c>
      <c r="S33" s="41"/>
      <c r="T33" s="42">
        <f>IF(O33="","",IF(R33&lt;0,J33*(-1),IF(G33="買",(P33-H33)*10000,(H33-P33)*10000)))</f>
        <v>76.40000000000092</v>
      </c>
      <c r="U33" s="42"/>
      <c r="V33" s="43">
        <f>IF(T33&gt;0,T33/J33,0)</f>
        <v>2.7681159420291452</v>
      </c>
    </row>
    <row r="34" spans="2:22" ht="12.75">
      <c r="B34" s="36">
        <v>26</v>
      </c>
      <c r="C34" s="37">
        <f>IF(R33="","",C33+R33)</f>
        <v>1571323.3402298186</v>
      </c>
      <c r="D34" s="37"/>
      <c r="E34" s="36">
        <f>E33</f>
        <v>2010</v>
      </c>
      <c r="F34" s="38">
        <v>26</v>
      </c>
      <c r="G34" s="36" t="s">
        <v>37</v>
      </c>
      <c r="H34" s="36">
        <v>1.31051</v>
      </c>
      <c r="I34" s="36"/>
      <c r="J34" s="36">
        <f>ABS(H34-1.31253)*10000</f>
        <v>20.199999999999108</v>
      </c>
      <c r="K34" s="37">
        <f>IF(F34="","",C34*L$7)</f>
        <v>47139.70020689456</v>
      </c>
      <c r="L34" s="37"/>
      <c r="M34" s="40">
        <f>IF(J34="","",(K34/J34)/1000)</f>
        <v>2.333648525093893</v>
      </c>
      <c r="N34" s="36">
        <f>N33</f>
        <v>2010</v>
      </c>
      <c r="O34" s="38">
        <v>26</v>
      </c>
      <c r="P34" s="36">
        <v>1.30311</v>
      </c>
      <c r="Q34" s="36"/>
      <c r="R34" s="41">
        <f>IF(O34="","",(IF(G34="売",H34-P34,P34-H34))*M34*10000000)</f>
        <v>172689.9908569498</v>
      </c>
      <c r="S34" s="41"/>
      <c r="T34" s="42">
        <f>IF(O34="","",IF(R34&lt;0,J34*(-1),IF(G34="買",(P34-H34)*10000,(H34-P34)*10000)))</f>
        <v>74.00000000000074</v>
      </c>
      <c r="U34" s="42"/>
      <c r="V34" s="43">
        <f>IF(T34&gt;0,T34/J34,0)</f>
        <v>3.663366336633862</v>
      </c>
    </row>
    <row r="35" spans="2:22" ht="12.75">
      <c r="B35" s="36">
        <v>27</v>
      </c>
      <c r="C35" s="37">
        <f>IF(R34="","",C34+R34)</f>
        <v>1744013.3310867683</v>
      </c>
      <c r="D35" s="37"/>
      <c r="E35" s="36">
        <f>E34</f>
        <v>2010</v>
      </c>
      <c r="F35" s="38">
        <v>27</v>
      </c>
      <c r="G35" s="36" t="s">
        <v>36</v>
      </c>
      <c r="H35" s="36">
        <v>1.31852</v>
      </c>
      <c r="I35" s="36"/>
      <c r="J35" s="36">
        <f>ABS(H35-1.31441)*10000</f>
        <v>41.09999999999836</v>
      </c>
      <c r="K35" s="37">
        <f>IF(F35="","",C35*L$7)</f>
        <v>52320.399932603046</v>
      </c>
      <c r="L35" s="37"/>
      <c r="M35" s="40">
        <f>IF(J35="","",(K35/J35)/1000)</f>
        <v>1.2730024314502466</v>
      </c>
      <c r="N35" s="36">
        <f>N34</f>
        <v>2010</v>
      </c>
      <c r="O35" s="38">
        <v>27</v>
      </c>
      <c r="P35" s="36">
        <v>1.3254000000000001</v>
      </c>
      <c r="Q35" s="36"/>
      <c r="R35" s="41">
        <f>IF(O35="","",(IF(G35="売",H35-P35,P35-H35))*M35*10000000)</f>
        <v>87582.56728377975</v>
      </c>
      <c r="S35" s="41"/>
      <c r="T35" s="42">
        <f>IF(O35="","",IF(R35&lt;0,J35*(-1),IF(G35="買",(P35-H35)*10000,(H35-P35)*10000)))</f>
        <v>68.8000000000022</v>
      </c>
      <c r="U35" s="42"/>
      <c r="V35" s="43">
        <f>IF(T35&gt;0,T35/J35,0)</f>
        <v>1.6739659367397797</v>
      </c>
    </row>
    <row r="36" spans="2:22" ht="12.75">
      <c r="B36" s="36">
        <v>28</v>
      </c>
      <c r="C36" s="37">
        <f>IF(R35="","",C35+R35)</f>
        <v>1831595.8983705482</v>
      </c>
      <c r="D36" s="37"/>
      <c r="E36" s="36">
        <f>E35</f>
        <v>2010</v>
      </c>
      <c r="F36" s="38">
        <v>28</v>
      </c>
      <c r="G36" s="36" t="s">
        <v>36</v>
      </c>
      <c r="H36" s="36">
        <v>1.29389</v>
      </c>
      <c r="I36" s="36"/>
      <c r="J36" s="36">
        <f>ABS(H36-1.29106)*10000</f>
        <v>28.29999999999888</v>
      </c>
      <c r="K36" s="37">
        <f>IF(F36="","",C36*L$7)</f>
        <v>54947.87695111644</v>
      </c>
      <c r="L36" s="37"/>
      <c r="M36" s="40">
        <f>IF(J36="","",(K36/J36)/1000)</f>
        <v>1.941621093679103</v>
      </c>
      <c r="N36" s="36">
        <f>N35</f>
        <v>2010</v>
      </c>
      <c r="O36" s="38">
        <v>28</v>
      </c>
      <c r="P36" s="36">
        <v>1.29728</v>
      </c>
      <c r="Q36" s="36"/>
      <c r="R36" s="41">
        <f>IF(O36="","",(IF(G36="売",H36-P36,P36-H36))*M36*10000000)</f>
        <v>65820.95507572166</v>
      </c>
      <c r="S36" s="41"/>
      <c r="T36" s="42">
        <f>IF(O36="","",IF(R36&lt;0,J36*(-1),IF(G36="買",(P36-H36)*10000,(H36-P36)*10000)))</f>
        <v>33.90000000000004</v>
      </c>
      <c r="U36" s="42"/>
      <c r="V36" s="43">
        <f>IF(T36&gt;0,T36/J36,0)</f>
        <v>1.1978798586572925</v>
      </c>
    </row>
    <row r="37" spans="2:22" ht="12.75">
      <c r="B37" s="36">
        <v>29</v>
      </c>
      <c r="C37" s="37">
        <f>IF(R36="","",C36+R36)</f>
        <v>1897416.8534462699</v>
      </c>
      <c r="D37" s="37"/>
      <c r="E37" s="36">
        <f>E36</f>
        <v>2010</v>
      </c>
      <c r="F37" s="38">
        <v>29</v>
      </c>
      <c r="G37" s="36" t="s">
        <v>37</v>
      </c>
      <c r="H37" s="36">
        <v>1.29556</v>
      </c>
      <c r="I37" s="36"/>
      <c r="J37" s="36">
        <f>ABS(H37-1.29929)*10000</f>
        <v>37.30000000000011</v>
      </c>
      <c r="K37" s="37">
        <f>IF(F37="","",C37*L$7)</f>
        <v>56922.5056033881</v>
      </c>
      <c r="L37" s="37"/>
      <c r="M37" s="40">
        <f>IF(J37="","",(K37/J37)/1000)</f>
        <v>1.5260725362838587</v>
      </c>
      <c r="N37" s="36">
        <f>N36</f>
        <v>2010</v>
      </c>
      <c r="O37" s="38">
        <v>29</v>
      </c>
      <c r="P37" s="36">
        <v>1.2927</v>
      </c>
      <c r="Q37" s="36"/>
      <c r="R37" s="41">
        <f>IF(O37="","",(IF(G37="売",H37-P37,P37-H37))*M37*10000000)</f>
        <v>43645.67453771965</v>
      </c>
      <c r="S37" s="41"/>
      <c r="T37" s="42">
        <f>IF(O37="","",IF(R37&lt;0,J37*(-1),IF(G37="買",(P37-H37)*10000,(H37-P37)*10000)))</f>
        <v>28.600000000000847</v>
      </c>
      <c r="U37" s="42"/>
      <c r="V37" s="43">
        <f>IF(T37&gt;0,T37/J37,0)</f>
        <v>0.7667560321716022</v>
      </c>
    </row>
    <row r="38" spans="2:22" ht="12.75">
      <c r="B38" s="36">
        <v>30</v>
      </c>
      <c r="C38" s="37">
        <f>IF(R37="","",C37+R37)</f>
        <v>1941062.5279839896</v>
      </c>
      <c r="D38" s="37"/>
      <c r="E38" s="36">
        <f>E37</f>
        <v>2010</v>
      </c>
      <c r="F38" s="38">
        <v>30</v>
      </c>
      <c r="G38" s="36" t="s">
        <v>36</v>
      </c>
      <c r="H38" s="36">
        <v>1.28542</v>
      </c>
      <c r="I38" s="36"/>
      <c r="J38" s="36">
        <f>ABS(H38-1.28375)*10000</f>
        <v>16.700000000000603</v>
      </c>
      <c r="K38" s="37">
        <f>IF(F38="","",C38*L$7)</f>
        <v>58231.875839519686</v>
      </c>
      <c r="L38" s="37"/>
      <c r="M38" s="40">
        <f>IF(J38="","",(K38/J38)/1000)</f>
        <v>3.486938673025005</v>
      </c>
      <c r="N38" s="36">
        <f>N37</f>
        <v>2010</v>
      </c>
      <c r="O38" s="38">
        <v>30</v>
      </c>
      <c r="P38" s="36">
        <v>1.2896800000000002</v>
      </c>
      <c r="Q38" s="36"/>
      <c r="R38" s="41">
        <f>IF(O38="","",(IF(G38="売",H38-P38,P38-H38))*M38*10000000)</f>
        <v>148543.58747087052</v>
      </c>
      <c r="S38" s="41"/>
      <c r="T38" s="42">
        <f>IF(O38="","",IF(R38&lt;0,J38*(-1),IF(G38="買",(P38-H38)*10000,(H38-P38)*10000)))</f>
        <v>42.60000000000153</v>
      </c>
      <c r="U38" s="42"/>
      <c r="V38" s="43">
        <f>IF(T38&gt;0,T38/J38,0)</f>
        <v>2.550898203592814</v>
      </c>
    </row>
    <row r="39" spans="2:22" ht="12.75">
      <c r="B39" s="36">
        <v>31</v>
      </c>
      <c r="C39" s="37">
        <f>IF(R38="","",C38+R38)</f>
        <v>2089606.11545486</v>
      </c>
      <c r="D39" s="37"/>
      <c r="E39" s="36">
        <f>E38</f>
        <v>2010</v>
      </c>
      <c r="F39" s="38">
        <v>31</v>
      </c>
      <c r="G39" s="36" t="s">
        <v>36</v>
      </c>
      <c r="H39" s="36">
        <v>1.31231</v>
      </c>
      <c r="I39" s="36"/>
      <c r="J39" s="36">
        <f>ABS(H39-P39)*10000</f>
        <v>38.000000000000256</v>
      </c>
      <c r="K39" s="37">
        <f>IF(F39="","",C39*L$7)</f>
        <v>62688.1834636458</v>
      </c>
      <c r="L39" s="37"/>
      <c r="M39" s="40">
        <f>IF(J39="","",(K39/J39)/1000)</f>
        <v>1.6496890385169836</v>
      </c>
      <c r="N39" s="36">
        <f>N38</f>
        <v>2010</v>
      </c>
      <c r="O39" s="38">
        <v>31</v>
      </c>
      <c r="P39" s="36">
        <v>1.30851</v>
      </c>
      <c r="Q39" s="36"/>
      <c r="R39" s="41">
        <f>IF(O39="","",(IF(G39="売",H39-P39,P39-H39))*M39*10000000)</f>
        <v>-62688.1834636458</v>
      </c>
      <c r="S39" s="41"/>
      <c r="T39" s="42">
        <f>IF(O39="","",IF(R39&lt;0,J39*(-1),IF(G39="買",(P39-H39)*10000,(H39-P39)*10000)))</f>
        <v>-38.000000000000256</v>
      </c>
      <c r="U39" s="42"/>
      <c r="V39" s="43">
        <f>IF(T39&gt;0,T39/J39,0)</f>
        <v>0</v>
      </c>
    </row>
    <row r="40" spans="2:22" ht="12.75">
      <c r="B40" s="36">
        <v>32</v>
      </c>
      <c r="C40" s="37">
        <f>IF(R39="","",C39+R39)</f>
        <v>2026917.9319912142</v>
      </c>
      <c r="D40" s="37"/>
      <c r="E40" s="36">
        <f>E39</f>
        <v>2010</v>
      </c>
      <c r="F40" s="38">
        <v>32</v>
      </c>
      <c r="G40" s="36" t="s">
        <v>37</v>
      </c>
      <c r="H40" s="36">
        <v>1.3358400000000001</v>
      </c>
      <c r="I40" s="36"/>
      <c r="J40" s="36">
        <f>ABS(H40-1.33791)*10000</f>
        <v>20.699999999997942</v>
      </c>
      <c r="K40" s="37">
        <f>IF(F40="","",C40*L$7)</f>
        <v>60807.53795973642</v>
      </c>
      <c r="L40" s="37"/>
      <c r="M40" s="40">
        <f>IF(J40="","",(K40/J40)/1000)</f>
        <v>2.937562220277414</v>
      </c>
      <c r="N40" s="36">
        <f>N39</f>
        <v>2010</v>
      </c>
      <c r="O40" s="38">
        <v>32</v>
      </c>
      <c r="P40" s="36">
        <v>1.3312300000000001</v>
      </c>
      <c r="Q40" s="36"/>
      <c r="R40" s="41">
        <f>IF(O40="","",(IF(G40="売",H40-P40,P40-H40))*M40*10000000)</f>
        <v>135421.61835478886</v>
      </c>
      <c r="S40" s="41"/>
      <c r="T40" s="42">
        <f>IF(O40="","",IF(R40&lt;0,J40*(-1),IF(G40="買",(P40-H40)*10000,(H40-P40)*10000)))</f>
        <v>46.10000000000003</v>
      </c>
      <c r="U40" s="42"/>
      <c r="V40" s="43">
        <f>IF(T40&gt;0,T40/J40,0)</f>
        <v>2.227053140096841</v>
      </c>
    </row>
    <row r="41" spans="2:22" ht="12.75">
      <c r="B41" s="36">
        <v>33</v>
      </c>
      <c r="C41" s="37">
        <f>IF(R40="","",C40+R40)</f>
        <v>2162339.550346003</v>
      </c>
      <c r="D41" s="37"/>
      <c r="E41" s="36">
        <f>E40</f>
        <v>2010</v>
      </c>
      <c r="F41" s="38">
        <v>33</v>
      </c>
      <c r="G41" s="36" t="s">
        <v>36</v>
      </c>
      <c r="H41" s="36">
        <v>1.31255</v>
      </c>
      <c r="I41" s="36"/>
      <c r="J41" s="36">
        <f>ABS(H41-1.31043)*10000</f>
        <v>21.200000000001218</v>
      </c>
      <c r="K41" s="37">
        <f>IF(F41="","",C41*L$7)</f>
        <v>64870.18651038009</v>
      </c>
      <c r="L41" s="37"/>
      <c r="M41" s="40">
        <f>IF(J41="","",(K41/J41)/1000)</f>
        <v>3.059914458036621</v>
      </c>
      <c r="N41" s="36">
        <f>N40</f>
        <v>2010</v>
      </c>
      <c r="O41" s="38">
        <v>33</v>
      </c>
      <c r="P41" s="36">
        <v>1.31493</v>
      </c>
      <c r="Q41" s="36"/>
      <c r="R41" s="41">
        <f>IF(O41="","",(IF(G41="売",H41-P41,P41-H41))*M41*10000000)</f>
        <v>72825.96410126628</v>
      </c>
      <c r="S41" s="41"/>
      <c r="T41" s="42">
        <f>IF(O41="","",IF(R41&lt;0,J41*(-1),IF(G41="買",(P41-H41)*10000,(H41-P41)*10000)))</f>
        <v>23.799999999998267</v>
      </c>
      <c r="U41" s="42"/>
      <c r="V41" s="43">
        <f>IF(T41&gt;0,T41/J41,0)</f>
        <v>1.122641509433816</v>
      </c>
    </row>
    <row r="42" spans="2:22" ht="12.75">
      <c r="B42" s="36">
        <v>34</v>
      </c>
      <c r="C42" s="37">
        <f>IF(R41="","",C41+R41)</f>
        <v>2235165.514447269</v>
      </c>
      <c r="D42" s="37"/>
      <c r="E42" s="36">
        <f>E41</f>
        <v>2010</v>
      </c>
      <c r="F42" s="38">
        <v>34</v>
      </c>
      <c r="G42" s="36" t="s">
        <v>36</v>
      </c>
      <c r="H42" s="36">
        <v>1.34329</v>
      </c>
      <c r="I42" s="36"/>
      <c r="J42" s="36">
        <f>ABS(H42-1.33984)*10000</f>
        <v>34.49999999999953</v>
      </c>
      <c r="K42" s="37">
        <f>IF(F42="","",C42*L$7)</f>
        <v>67054.96543341807</v>
      </c>
      <c r="L42" s="37"/>
      <c r="M42" s="40">
        <f>IF(J42="","",(K42/J42)/1000)</f>
        <v>1.9436221864759125</v>
      </c>
      <c r="N42" s="36">
        <f>N41</f>
        <v>2010</v>
      </c>
      <c r="O42" s="38">
        <v>34</v>
      </c>
      <c r="P42" s="36">
        <v>1.34663</v>
      </c>
      <c r="Q42" s="36"/>
      <c r="R42" s="41">
        <f>IF(O42="","",(IF(G42="売",H42-P42,P42-H42))*M42*10000000)</f>
        <v>64916.98102829351</v>
      </c>
      <c r="S42" s="41"/>
      <c r="T42" s="42">
        <f>IF(O42="","",IF(R42&lt;0,J42*(-1),IF(G42="買",(P42-H42)*10000,(H42-P42)*10000)))</f>
        <v>33.39999999999898</v>
      </c>
      <c r="U42" s="42"/>
      <c r="V42" s="43">
        <f>IF(T42&gt;0,T42/J42,0)</f>
        <v>0.9681159420289692</v>
      </c>
    </row>
    <row r="43" spans="2:22" ht="12.75">
      <c r="B43" s="36">
        <v>35</v>
      </c>
      <c r="C43" s="37">
        <f>IF(R42="","",C42+R42)</f>
        <v>2300082.4954755628</v>
      </c>
      <c r="D43" s="37"/>
      <c r="E43" s="36">
        <f>E42</f>
        <v>2010</v>
      </c>
      <c r="F43" s="38">
        <v>35</v>
      </c>
      <c r="G43" s="36" t="s">
        <v>36</v>
      </c>
      <c r="H43" s="36">
        <v>1.3537400000000002</v>
      </c>
      <c r="I43" s="36"/>
      <c r="J43" s="36">
        <f>ABS(H43-1.35236)*10000</f>
        <v>13.800000000001589</v>
      </c>
      <c r="K43" s="37">
        <f>IF(F43="","",C43*L$7)</f>
        <v>69002.47486426689</v>
      </c>
      <c r="L43" s="37"/>
      <c r="M43" s="40">
        <f>IF(J43="","",(K43/J43)/1000)</f>
        <v>5.0001793379897785</v>
      </c>
      <c r="N43" s="36">
        <f>N42</f>
        <v>2010</v>
      </c>
      <c r="O43" s="38">
        <v>35</v>
      </c>
      <c r="P43" s="36">
        <v>1.35606</v>
      </c>
      <c r="Q43" s="36"/>
      <c r="R43" s="41">
        <f>IF(O43="","",(IF(G43="売",H43-P43,P43-H43))*M43*10000000)</f>
        <v>116004.16064135675</v>
      </c>
      <c r="S43" s="41"/>
      <c r="T43" s="42">
        <f>IF(O43="","",IF(R43&lt;0,J43*(-1),IF(G43="買",(P43-H43)*10000,(H43-P43)*10000)))</f>
        <v>23.199999999998777</v>
      </c>
      <c r="U43" s="42"/>
      <c r="V43" s="43">
        <f>IF(T43&gt;0,T43/J43,0)</f>
        <v>1.681159420289573</v>
      </c>
    </row>
    <row r="44" spans="2:22" ht="12.75">
      <c r="B44" s="36">
        <v>36</v>
      </c>
      <c r="C44" s="37">
        <f>IF(R43="","",C43+R43)</f>
        <v>2416086.6561169196</v>
      </c>
      <c r="D44" s="37"/>
      <c r="E44" s="36">
        <f>E43</f>
        <v>2010</v>
      </c>
      <c r="F44" s="38">
        <v>36</v>
      </c>
      <c r="G44" s="36" t="s">
        <v>37</v>
      </c>
      <c r="H44" s="36">
        <v>1.36583</v>
      </c>
      <c r="I44" s="36"/>
      <c r="J44" s="36">
        <f>ABS(H44-1.36772)*10000</f>
        <v>18.899999999999473</v>
      </c>
      <c r="K44" s="37">
        <f>IF(F44="","",C44*L$7)</f>
        <v>72482.59968350758</v>
      </c>
      <c r="L44" s="37"/>
      <c r="M44" s="40">
        <f>IF(J44="","",(K44/J44)/1000)</f>
        <v>3.8350581843126776</v>
      </c>
      <c r="N44" s="36">
        <f>N43</f>
        <v>2010</v>
      </c>
      <c r="O44" s="38">
        <v>36</v>
      </c>
      <c r="P44" s="36">
        <v>1.36197</v>
      </c>
      <c r="Q44" s="36"/>
      <c r="R44" s="41">
        <f>IF(O44="","",(IF(G44="売",H44-P44,P44-H44))*M44*10000000)</f>
        <v>148033.2459144769</v>
      </c>
      <c r="S44" s="41"/>
      <c r="T44" s="42">
        <f>IF(O44="","",IF(R44&lt;0,J44*(-1),IF(G44="買",(P44-H44)*10000,(H44-P44)*10000)))</f>
        <v>38.60000000000197</v>
      </c>
      <c r="U44" s="42"/>
      <c r="V44" s="43">
        <f>IF(T44&gt;0,T44/J44,0)</f>
        <v>2.0423280423282035</v>
      </c>
    </row>
    <row r="45" spans="2:22" ht="12.75">
      <c r="B45" s="36">
        <v>37</v>
      </c>
      <c r="C45" s="37">
        <f>IF(R44="","",C44+R44)</f>
        <v>2564119.9020313965</v>
      </c>
      <c r="D45" s="37"/>
      <c r="E45" s="36">
        <f>E44</f>
        <v>2010</v>
      </c>
      <c r="F45" s="38">
        <v>37</v>
      </c>
      <c r="G45" s="36" t="s">
        <v>37</v>
      </c>
      <c r="H45" s="36">
        <v>1.37134</v>
      </c>
      <c r="I45" s="36"/>
      <c r="J45" s="36">
        <f>ABS(H45-P45)*10000</f>
        <v>14.700000000000824</v>
      </c>
      <c r="K45" s="37">
        <f>IF(F45="","",C45*L$7)</f>
        <v>76923.59706094189</v>
      </c>
      <c r="L45" s="37"/>
      <c r="M45" s="40">
        <f>IF(J45="","",(K45/J45)/1000)</f>
        <v>5.232897759247454</v>
      </c>
      <c r="N45" s="36">
        <f>N44</f>
        <v>2010</v>
      </c>
      <c r="O45" s="38">
        <v>37</v>
      </c>
      <c r="P45" s="36">
        <v>1.37281</v>
      </c>
      <c r="Q45" s="36"/>
      <c r="R45" s="41">
        <f>IF(O45="","",(IF(G45="売",H45-P45,P45-H45))*M45*10000000)</f>
        <v>-76923.59706094187</v>
      </c>
      <c r="S45" s="41"/>
      <c r="T45" s="42">
        <f>IF(O45="","",IF(R45&lt;0,J45*(-1),IF(G45="買",(P45-H45)*10000,(H45-P45)*10000)))</f>
        <v>-14.700000000000824</v>
      </c>
      <c r="U45" s="42"/>
      <c r="V45" s="43">
        <f>IF(T45&gt;0,T45/J45,0)</f>
        <v>0</v>
      </c>
    </row>
    <row r="46" spans="2:22" ht="12.75">
      <c r="B46" s="36">
        <v>38</v>
      </c>
      <c r="C46" s="37">
        <f>IF(R45="","",C45+R45)</f>
        <v>2487196.3049704544</v>
      </c>
      <c r="D46" s="37"/>
      <c r="E46" s="36">
        <f>E45</f>
        <v>2010</v>
      </c>
      <c r="F46" s="38">
        <v>38</v>
      </c>
      <c r="G46" s="36" t="s">
        <v>36</v>
      </c>
      <c r="H46" s="36">
        <v>1.36361</v>
      </c>
      <c r="I46" s="36"/>
      <c r="J46" s="36">
        <f>ABS(H46-P46)*10000</f>
        <v>11.900000000000244</v>
      </c>
      <c r="K46" s="37">
        <f>IF(F46="","",C46*L$7)</f>
        <v>74615.88914911363</v>
      </c>
      <c r="L46" s="37"/>
      <c r="M46" s="40">
        <f>IF(J46="","",(K46/J46)/1000)</f>
        <v>6.270242785639673</v>
      </c>
      <c r="N46" s="36">
        <f>N45</f>
        <v>2010</v>
      </c>
      <c r="O46" s="38">
        <v>38</v>
      </c>
      <c r="P46" s="36">
        <v>1.36242</v>
      </c>
      <c r="Q46" s="36"/>
      <c r="R46" s="41">
        <f>IF(O46="","",(IF(G46="売",H46-P46,P46-H46))*M46*10000000)</f>
        <v>-74615.88914911363</v>
      </c>
      <c r="S46" s="41"/>
      <c r="T46" s="42">
        <f>IF(O46="","",IF(R46&lt;0,J46*(-1),IF(G46="買",(P46-H46)*10000,(H46-P46)*10000)))</f>
        <v>-11.900000000000244</v>
      </c>
      <c r="U46" s="42"/>
      <c r="V46" s="43">
        <f>IF(T46&gt;0,T46/J46,0)</f>
        <v>0</v>
      </c>
    </row>
    <row r="47" spans="2:22" ht="12.75">
      <c r="B47" s="36">
        <v>39</v>
      </c>
      <c r="C47" s="37">
        <f>IF(R46="","",C46+R46)</f>
        <v>2412580.415821341</v>
      </c>
      <c r="D47" s="37"/>
      <c r="E47" s="36">
        <f>E46</f>
        <v>2010</v>
      </c>
      <c r="F47" s="38">
        <v>39</v>
      </c>
      <c r="G47" s="36" t="s">
        <v>36</v>
      </c>
      <c r="H47" s="36">
        <v>1.35965</v>
      </c>
      <c r="I47" s="36"/>
      <c r="J47" s="36">
        <f>ABS(H47-1.35853)*10000</f>
        <v>11.200000000000099</v>
      </c>
      <c r="K47" s="37">
        <f>IF(F47="","",C47*L$7)</f>
        <v>72377.41247464022</v>
      </c>
      <c r="L47" s="37"/>
      <c r="M47" s="40">
        <f>IF(J47="","",(K47/J47)/1000)</f>
        <v>6.462268970949963</v>
      </c>
      <c r="N47" s="36">
        <f>N46</f>
        <v>2010</v>
      </c>
      <c r="O47" s="38">
        <v>39</v>
      </c>
      <c r="P47" s="36">
        <v>1.36166</v>
      </c>
      <c r="Q47" s="36"/>
      <c r="R47" s="41">
        <f>IF(O47="","",(IF(G47="売",H47-P47,P47-H47))*M47*10000000)</f>
        <v>129891.60631609861</v>
      </c>
      <c r="S47" s="41"/>
      <c r="T47" s="42">
        <f>IF(O47="","",IF(R47&lt;0,J47*(-1),IF(G47="買",(P47-H47)*10000,(H47-P47)*10000)))</f>
        <v>20.100000000000673</v>
      </c>
      <c r="U47" s="42"/>
      <c r="V47" s="43">
        <f>IF(T47&gt;0,T47/J47,0)</f>
        <v>1.7946428571429014</v>
      </c>
    </row>
    <row r="48" spans="2:22" ht="12.75">
      <c r="B48" s="36">
        <v>40</v>
      </c>
      <c r="C48" s="37">
        <f>IF(R47="","",C47+R47)</f>
        <v>2542472.0221374393</v>
      </c>
      <c r="D48" s="37"/>
      <c r="E48" s="36">
        <f>E47</f>
        <v>2010</v>
      </c>
      <c r="F48" s="38">
        <v>40</v>
      </c>
      <c r="G48" s="36" t="s">
        <v>36</v>
      </c>
      <c r="H48" s="36">
        <v>1.3199</v>
      </c>
      <c r="I48" s="36"/>
      <c r="J48" s="36">
        <f>ABS(H48-P48)*10000</f>
        <v>16.40000000000086</v>
      </c>
      <c r="K48" s="37">
        <f>IF(F48="","",C48*L$7)</f>
        <v>76274.16066412318</v>
      </c>
      <c r="L48" s="37"/>
      <c r="M48" s="40">
        <f>IF(J48="","",(K48/J48)/1000)</f>
        <v>4.650863455129219</v>
      </c>
      <c r="N48" s="36">
        <f>N47</f>
        <v>2010</v>
      </c>
      <c r="O48" s="38">
        <v>40</v>
      </c>
      <c r="P48" s="36">
        <v>1.31826</v>
      </c>
      <c r="Q48" s="36"/>
      <c r="R48" s="41">
        <f>IF(O48="","",(IF(G48="売",H48-P48,P48-H48))*M48*10000000)</f>
        <v>-76274.16066412318</v>
      </c>
      <c r="S48" s="41"/>
      <c r="T48" s="42">
        <f>IF(O48="","",IF(R48&lt;0,J48*(-1),IF(G48="買",(P48-H48)*10000,(H48-P48)*10000)))</f>
        <v>-16.40000000000086</v>
      </c>
      <c r="U48" s="42"/>
      <c r="V48" s="43">
        <f>IF(T48&gt;0,T48/J48,0)</f>
        <v>0</v>
      </c>
    </row>
    <row r="49" spans="2:22" ht="12.75">
      <c r="B49" s="36">
        <v>41</v>
      </c>
      <c r="C49" s="37">
        <f>IF(R48="","",C48+R48)</f>
        <v>2466197.8614733163</v>
      </c>
      <c r="D49" s="37"/>
      <c r="E49" s="36">
        <f>E48</f>
        <v>2010</v>
      </c>
      <c r="F49" s="38">
        <v>41</v>
      </c>
      <c r="G49" s="36" t="s">
        <v>36</v>
      </c>
      <c r="H49" s="36">
        <v>1.28754</v>
      </c>
      <c r="I49" s="36"/>
      <c r="J49" s="36">
        <f>ABS(H49-1.28584)*10000</f>
        <v>16.999999999998128</v>
      </c>
      <c r="K49" s="37">
        <f>IF(F49="","",C49*L$7)</f>
        <v>73985.93584419948</v>
      </c>
      <c r="L49" s="37"/>
      <c r="M49" s="40">
        <f>IF(J49="","",(K49/J49)/1000)</f>
        <v>4.352113873188684</v>
      </c>
      <c r="N49" s="36">
        <f>N48</f>
        <v>2010</v>
      </c>
      <c r="O49" s="38">
        <v>41</v>
      </c>
      <c r="P49" s="36">
        <v>1.29732</v>
      </c>
      <c r="Q49" s="36"/>
      <c r="R49" s="41">
        <f>IF(O49="","",(IF(G49="売",H49-P49,P49-H49))*M49*10000000)</f>
        <v>425636.7367978586</v>
      </c>
      <c r="S49" s="41"/>
      <c r="T49" s="42">
        <f>IF(O49="","",IF(R49&lt;0,J49*(-1),IF(G49="買",(P49-H49)*10000,(H49-P49)*10000)))</f>
        <v>97.80000000000122</v>
      </c>
      <c r="U49" s="42"/>
      <c r="V49" s="43">
        <f>IF(T49&gt;0,T49/J49,0)</f>
        <v>5.752941176471293</v>
      </c>
    </row>
    <row r="50" spans="2:22" ht="12.75">
      <c r="B50" s="36">
        <v>42</v>
      </c>
      <c r="C50" s="37">
        <f>IF(R49="","",C49+R49)</f>
        <v>2891834.598271175</v>
      </c>
      <c r="D50" s="37"/>
      <c r="E50" s="36">
        <f>E49</f>
        <v>2010</v>
      </c>
      <c r="F50" s="38">
        <v>42</v>
      </c>
      <c r="G50" s="36" t="s">
        <v>37</v>
      </c>
      <c r="H50" s="36">
        <v>1.27554</v>
      </c>
      <c r="I50" s="36"/>
      <c r="J50" s="36">
        <f>ABS(H50-1.2769)*10000</f>
        <v>13.600000000000279</v>
      </c>
      <c r="K50" s="37">
        <f>IF(F50="","",C50*L$7)</f>
        <v>86755.03794813524</v>
      </c>
      <c r="L50" s="37"/>
      <c r="M50" s="40">
        <f>IF(J50="","",(K50/J50)/1000)</f>
        <v>6.379046907950991</v>
      </c>
      <c r="N50" s="36">
        <f>N49</f>
        <v>2010</v>
      </c>
      <c r="O50" s="38">
        <v>42</v>
      </c>
      <c r="P50" s="36">
        <v>1.27092</v>
      </c>
      <c r="Q50" s="36"/>
      <c r="R50" s="41">
        <f>IF(O50="","",(IF(G50="売",H50-P50,P50-H50))*M50*10000000)</f>
        <v>294711.967147326</v>
      </c>
      <c r="S50" s="41"/>
      <c r="T50" s="42">
        <f>IF(O50="","",IF(R50&lt;0,J50*(-1),IF(G50="買",(P50-H50)*10000,(H50-P50)*10000)))</f>
        <v>46.19999999999847</v>
      </c>
      <c r="U50" s="42"/>
      <c r="V50" s="43">
        <f>IF(T50&gt;0,T50/J50,0)</f>
        <v>3.3970588235292296</v>
      </c>
    </row>
    <row r="51" spans="2:22" ht="12.75">
      <c r="B51" s="36">
        <v>43</v>
      </c>
      <c r="C51" s="37">
        <f>IF(R50="","",C50+R50)</f>
        <v>3186546.565418501</v>
      </c>
      <c r="D51" s="37"/>
      <c r="E51" s="36">
        <f>E50</f>
        <v>2010</v>
      </c>
      <c r="F51" s="38">
        <v>43</v>
      </c>
      <c r="G51" s="36" t="s">
        <v>36</v>
      </c>
      <c r="H51" s="36">
        <v>1.11481</v>
      </c>
      <c r="I51" s="36"/>
      <c r="J51" s="36">
        <f>ABS(H51-1.10972)*10000</f>
        <v>50.90000000000039</v>
      </c>
      <c r="K51" s="37">
        <f>IF(F51="","",C51*L$7)</f>
        <v>95596.39696255502</v>
      </c>
      <c r="L51" s="37"/>
      <c r="M51" s="40">
        <f>IF(J51="","",(K51/J51)/1000)</f>
        <v>1.8781217477908505</v>
      </c>
      <c r="N51" s="36">
        <f>N50</f>
        <v>2010</v>
      </c>
      <c r="O51" s="38">
        <v>43</v>
      </c>
      <c r="P51" s="36">
        <v>1.13812</v>
      </c>
      <c r="Q51" s="36"/>
      <c r="R51" s="41">
        <f>IF(O51="","",(IF(G51="売",H51-P51,P51-H51))*M51*10000000)</f>
        <v>437790.1794100462</v>
      </c>
      <c r="S51" s="41"/>
      <c r="T51" s="42">
        <f>IF(O51="","",IF(R51&lt;0,J51*(-1),IF(G51="買",(P51-H51)*10000,(H51-P51)*10000)))</f>
        <v>233.09999999999943</v>
      </c>
      <c r="U51" s="42"/>
      <c r="V51" s="43">
        <f>IF(T51&gt;0,T51/J51,0)</f>
        <v>4.579567779960661</v>
      </c>
    </row>
    <row r="52" spans="2:22" ht="12.75">
      <c r="B52" s="36">
        <v>44</v>
      </c>
      <c r="C52" s="37">
        <f>IF(R51="","",C51+R51)</f>
        <v>3624336.7448285474</v>
      </c>
      <c r="D52" s="37"/>
      <c r="E52" s="36">
        <f>E51</f>
        <v>2010</v>
      </c>
      <c r="F52" s="38">
        <v>44</v>
      </c>
      <c r="G52" s="36" t="s">
        <v>36</v>
      </c>
      <c r="H52" s="36">
        <v>1.14204</v>
      </c>
      <c r="I52" s="36"/>
      <c r="J52" s="36">
        <f>ABS(H52-1.14422)*10000</f>
        <v>21.800000000000708</v>
      </c>
      <c r="K52" s="37">
        <f>IF(F52="","",C52*L$7)</f>
        <v>108730.10234485642</v>
      </c>
      <c r="L52" s="37"/>
      <c r="M52" s="40">
        <f>IF(J52="","",(K52/J52)/1000)</f>
        <v>4.987619373617106</v>
      </c>
      <c r="N52" s="36">
        <f>N51</f>
        <v>2010</v>
      </c>
      <c r="O52" s="38">
        <v>44</v>
      </c>
      <c r="P52" s="36">
        <v>1.13797</v>
      </c>
      <c r="Q52" s="36"/>
      <c r="R52" s="41">
        <f>IF(O52="","",(IF(G52="売",H52-P52,P52-H52))*M52*10000000)</f>
        <v>-202996.1085062171</v>
      </c>
      <c r="S52" s="41"/>
      <c r="T52" s="42">
        <f>IF(O52="","",IF(R52&lt;0,J52*(-1),IF(G52="買",(P52-H52)*10000,(H52-P52)*10000)))</f>
        <v>-21.800000000000708</v>
      </c>
      <c r="U52" s="42"/>
      <c r="V52" s="43">
        <f>IF(T52&gt;0,T52/J52,0)</f>
        <v>0</v>
      </c>
    </row>
    <row r="53" spans="2:22" ht="12.75">
      <c r="B53" s="36">
        <v>45</v>
      </c>
      <c r="C53" s="37">
        <f>IF(R52="","",C52+R52)</f>
        <v>3421340.63632233</v>
      </c>
      <c r="D53" s="37"/>
      <c r="E53" s="36">
        <f>E52</f>
        <v>2010</v>
      </c>
      <c r="F53" s="38">
        <v>45</v>
      </c>
      <c r="G53" s="36" t="s">
        <v>37</v>
      </c>
      <c r="H53" s="36">
        <v>1.0999</v>
      </c>
      <c r="I53" s="36"/>
      <c r="J53" s="36">
        <f>ABS(H53-1.10347)*10000</f>
        <v>35.69999999999851</v>
      </c>
      <c r="K53" s="37">
        <f>IF(F53="","",C53*L$7)</f>
        <v>102640.2190896699</v>
      </c>
      <c r="L53" s="37"/>
      <c r="M53" s="40">
        <f>IF(J53="","",(K53/J53)/1000)</f>
        <v>2.8750761649768677</v>
      </c>
      <c r="N53" s="36">
        <f>N52</f>
        <v>2010</v>
      </c>
      <c r="O53" s="38">
        <v>45</v>
      </c>
      <c r="P53" s="36">
        <v>1.09111</v>
      </c>
      <c r="Q53" s="36"/>
      <c r="R53" s="41">
        <f>IF(O53="","",(IF(G53="売",H53-P53,P53-H53))*M53*10000000)</f>
        <v>252719.19490146884</v>
      </c>
      <c r="S53" s="41"/>
      <c r="T53" s="42">
        <f>IF(O53="","",IF(R53&lt;0,J53*(-1),IF(G53="買",(P53-H53)*10000,(H53-P53)*10000)))</f>
        <v>87.90000000000076</v>
      </c>
      <c r="U53" s="42"/>
      <c r="V53" s="43">
        <f>IF(T53&gt;0,T53/J53,0)</f>
        <v>2.462184873949704</v>
      </c>
    </row>
    <row r="54" spans="2:22" ht="12.75">
      <c r="B54" s="36">
        <v>46</v>
      </c>
      <c r="C54" s="37">
        <f>IF(R53="","",C53+R53)</f>
        <v>3674059.831223799</v>
      </c>
      <c r="D54" s="37"/>
      <c r="E54" s="36">
        <f>E53</f>
        <v>2010</v>
      </c>
      <c r="F54" s="38">
        <v>46</v>
      </c>
      <c r="G54" s="36" t="s">
        <v>37</v>
      </c>
      <c r="H54" s="36">
        <v>1.12082</v>
      </c>
      <c r="I54" s="36"/>
      <c r="J54" s="36">
        <f>ABS(H54-P54)*10000</f>
        <v>80.90000000000153</v>
      </c>
      <c r="K54" s="37">
        <f>IF(F54="","",C54*L$7)</f>
        <v>110221.79493671397</v>
      </c>
      <c r="L54" s="37"/>
      <c r="M54" s="40">
        <f>IF(J54="","",(K54/J54)/1000)</f>
        <v>1.3624449312325326</v>
      </c>
      <c r="N54" s="36">
        <f>N53</f>
        <v>2010</v>
      </c>
      <c r="O54" s="38">
        <v>46</v>
      </c>
      <c r="P54" s="36">
        <v>1.12891</v>
      </c>
      <c r="Q54" s="36"/>
      <c r="R54" s="41">
        <f>IF(O54="","",(IF(G54="売",H54-P54,P54-H54))*M54*10000000)</f>
        <v>-110221.79493671397</v>
      </c>
      <c r="S54" s="41"/>
      <c r="T54" s="42">
        <f>IF(O54="","",IF(R54&lt;0,J54*(-1),IF(G54="買",(P54-H54)*10000,(H54-P54)*10000)))</f>
        <v>-80.90000000000153</v>
      </c>
      <c r="U54" s="42"/>
      <c r="V54" s="43">
        <f>IF(T54&gt;0,T54/J54,0)</f>
        <v>0</v>
      </c>
    </row>
    <row r="55" spans="2:22" ht="12.75">
      <c r="B55" s="36">
        <v>47</v>
      </c>
      <c r="C55" s="37">
        <f>IF(R54="","",C54+R54)</f>
        <v>3563838.036287085</v>
      </c>
      <c r="D55" s="37"/>
      <c r="E55" s="36">
        <f>E54</f>
        <v>2010</v>
      </c>
      <c r="F55" s="38">
        <v>47</v>
      </c>
      <c r="G55" s="36" t="s">
        <v>36</v>
      </c>
      <c r="H55" s="36">
        <v>1.08676</v>
      </c>
      <c r="I55" s="36"/>
      <c r="J55" s="36">
        <f>ABS(H55-1.08472)*10000</f>
        <v>20.400000000000418</v>
      </c>
      <c r="K55" s="37">
        <f>IF(F55="","",C55*L$7)</f>
        <v>106915.14108861255</v>
      </c>
      <c r="L55" s="37"/>
      <c r="M55" s="40">
        <f>IF(J55="","",(K55/J55)/1000)</f>
        <v>5.24093828865737</v>
      </c>
      <c r="N55" s="36">
        <f>N54</f>
        <v>2010</v>
      </c>
      <c r="O55" s="38">
        <v>47</v>
      </c>
      <c r="P55" s="36">
        <v>1.0900400000000001</v>
      </c>
      <c r="Q55" s="36"/>
      <c r="R55" s="41">
        <f>IF(O55="","",(IF(G55="売",H55-P55,P55-H55))*M55*10000000)</f>
        <v>171902.77586797072</v>
      </c>
      <c r="S55" s="41"/>
      <c r="T55" s="42">
        <f>IF(O55="","",IF(R55&lt;0,J55*(-1),IF(G55="買",(P55-H55)*10000,(H55-P55)*10000)))</f>
        <v>32.80000000000172</v>
      </c>
      <c r="U55" s="42"/>
      <c r="V55" s="43">
        <f>IF(T55&gt;0,T55/J55,0)</f>
        <v>1.607843137254953</v>
      </c>
    </row>
    <row r="56" spans="2:22" ht="12.75">
      <c r="B56" s="36">
        <v>48</v>
      </c>
      <c r="C56" s="37">
        <f>IF(R55="","",C55+R55)</f>
        <v>3735740.812155056</v>
      </c>
      <c r="D56" s="37"/>
      <c r="E56" s="36">
        <f>E55</f>
        <v>2010</v>
      </c>
      <c r="F56" s="38">
        <v>48</v>
      </c>
      <c r="G56" s="36" t="s">
        <v>37</v>
      </c>
      <c r="H56" s="36">
        <v>1.1278299999999999</v>
      </c>
      <c r="I56" s="36"/>
      <c r="J56" s="36">
        <f>ABS(H56-P56)*10000</f>
        <v>30.600000000000627</v>
      </c>
      <c r="K56" s="37">
        <f>IF(F56="","",C56*L$7)</f>
        <v>112072.22436465167</v>
      </c>
      <c r="L56" s="37"/>
      <c r="M56" s="40">
        <f>IF(J56="","",(K56/J56)/1000)</f>
        <v>3.662490992308803</v>
      </c>
      <c r="N56" s="36">
        <f>N55</f>
        <v>2010</v>
      </c>
      <c r="O56" s="38">
        <v>48</v>
      </c>
      <c r="P56" s="36">
        <v>1.13089</v>
      </c>
      <c r="Q56" s="36"/>
      <c r="R56" s="41">
        <f>IF(O56="","",(IF(G56="売",H56-P56,P56-H56))*M56*10000000)</f>
        <v>-112072.22436465167</v>
      </c>
      <c r="S56" s="41"/>
      <c r="T56" s="42">
        <f>IF(O56="","",IF(R56&lt;0,J56*(-1),IF(G56="買",(P56-H56)*10000,(H56-P56)*10000)))</f>
        <v>-30.600000000000627</v>
      </c>
      <c r="U56" s="42"/>
      <c r="V56" s="43">
        <f>IF(T56&gt;0,T56/J56,0)</f>
        <v>0</v>
      </c>
    </row>
    <row r="57" spans="2:22" ht="12.75">
      <c r="B57" s="36">
        <v>49</v>
      </c>
      <c r="C57" s="37">
        <f>IF(R56="","",C56+R56)</f>
        <v>3623668.587790404</v>
      </c>
      <c r="D57" s="37"/>
      <c r="E57" s="36">
        <f>E56</f>
        <v>2010</v>
      </c>
      <c r="F57" s="38">
        <v>49</v>
      </c>
      <c r="G57" s="36" t="s">
        <v>37</v>
      </c>
      <c r="H57" s="36">
        <v>1.13289</v>
      </c>
      <c r="I57" s="36"/>
      <c r="J57" s="36">
        <f>ABS(H57-1.13722)*10000</f>
        <v>43.300000000001674</v>
      </c>
      <c r="K57" s="37">
        <f>IF(F57="","",C57*L$7)</f>
        <v>108710.05763371212</v>
      </c>
      <c r="L57" s="37"/>
      <c r="M57" s="40">
        <f>IF(J57="","",(K57/J57)/1000)</f>
        <v>2.5106248876145014</v>
      </c>
      <c r="N57" s="36">
        <f>N56</f>
        <v>2010</v>
      </c>
      <c r="O57" s="38">
        <v>49</v>
      </c>
      <c r="P57" s="36">
        <v>1.12799</v>
      </c>
      <c r="Q57" s="36"/>
      <c r="R57" s="41">
        <f>IF(O57="","",(IF(G57="売",H57-P57,P57-H57))*M57*10000000)</f>
        <v>123020.61949310817</v>
      </c>
      <c r="S57" s="41"/>
      <c r="T57" s="42">
        <f>IF(O57="","",IF(R57&lt;0,J57*(-1),IF(G57="買",(P57-H57)*10000,(H57-P57)*10000)))</f>
        <v>48.99999999999905</v>
      </c>
      <c r="U57" s="42"/>
      <c r="V57" s="43">
        <f>IF(T57&gt;0,T57/J57,0)</f>
        <v>1.1316397228636756</v>
      </c>
    </row>
    <row r="58" spans="2:22" ht="12.75">
      <c r="B58" s="36">
        <v>50</v>
      </c>
      <c r="C58" s="37">
        <f>IF(R57="","",C57+R57)</f>
        <v>3746689.207283512</v>
      </c>
      <c r="D58" s="37"/>
      <c r="E58" s="36">
        <v>2015</v>
      </c>
      <c r="F58" s="38">
        <v>42631</v>
      </c>
      <c r="G58" s="36" t="s">
        <v>37</v>
      </c>
      <c r="H58" s="36">
        <v>1.14199</v>
      </c>
      <c r="I58" s="36"/>
      <c r="J58" s="36">
        <f>ABS(H58-1.14592)*10000</f>
        <v>39.29999999999989</v>
      </c>
      <c r="K58" s="37">
        <f>IF(F58="","",C58*L$7)</f>
        <v>112400.67621850537</v>
      </c>
      <c r="L58" s="37"/>
      <c r="M58" s="40">
        <f>IF(J58="","",(K58/J58)/1000)</f>
        <v>2.8600680971629946</v>
      </c>
      <c r="N58" s="36">
        <f>N57</f>
        <v>2010</v>
      </c>
      <c r="O58" s="38">
        <v>50</v>
      </c>
      <c r="P58" s="36">
        <v>1.13653</v>
      </c>
      <c r="Q58" s="36"/>
      <c r="R58" s="41">
        <f>IF(O58="","",(IF(G58="売",H58-P58,P58-H58))*M58*10000000)</f>
        <v>156159.7181051001</v>
      </c>
      <c r="S58" s="41"/>
      <c r="T58" s="42">
        <f>IF(O58="","",IF(R58&lt;0,J58*(-1),IF(G58="買",(P58-H58)*10000,(H58-P58)*10000)))</f>
        <v>54.60000000000021</v>
      </c>
      <c r="U58" s="42"/>
      <c r="V58" s="43">
        <f>IF(T58&gt;0,T58/J58,0)</f>
        <v>1.3893129770992458</v>
      </c>
    </row>
    <row r="59" spans="2:22" ht="12.75">
      <c r="B59" s="36">
        <v>51</v>
      </c>
      <c r="C59" s="37">
        <f>IF(R58="","",C58+R58)</f>
        <v>3902848.9253886123</v>
      </c>
      <c r="D59" s="37"/>
      <c r="E59" s="36"/>
      <c r="F59" s="38"/>
      <c r="G59" s="36"/>
      <c r="H59" s="36"/>
      <c r="I59" s="36"/>
      <c r="J59" s="36"/>
      <c r="K59" s="37">
        <f>IF(F59="","",C59*L$7)</f>
        <v>0</v>
      </c>
      <c r="L59" s="37"/>
      <c r="M59" s="40">
        <f>IF(J59="","",(K59/J59)/1000)</f>
        <v>0</v>
      </c>
      <c r="N59" s="36"/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/>
      <c r="F60" s="38"/>
      <c r="G60" s="36"/>
      <c r="H60" s="36"/>
      <c r="I60" s="36"/>
      <c r="J60" s="36"/>
      <c r="K60" s="37">
        <f>IF(F60="","",C60*L$7)</f>
        <v>0</v>
      </c>
      <c r="L60" s="37"/>
      <c r="M60" s="40">
        <f>IF(J60="","",(K60/J60)/1000)</f>
        <v>0</v>
      </c>
      <c r="N60" s="36"/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/>
      <c r="F61" s="38"/>
      <c r="G61" s="36"/>
      <c r="H61" s="36"/>
      <c r="I61" s="36"/>
      <c r="J61" s="36"/>
      <c r="K61" s="37">
        <f>IF(F61="","",C61*L$7)</f>
        <v>0</v>
      </c>
      <c r="L61" s="37"/>
      <c r="M61" s="40">
        <f>IF(J61="","",(K61/J61)/1000)</f>
        <v>0</v>
      </c>
      <c r="N61" s="36"/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/>
      <c r="F62" s="38"/>
      <c r="G62" s="36"/>
      <c r="H62" s="36"/>
      <c r="I62" s="36"/>
      <c r="J62" s="36"/>
      <c r="K62" s="37">
        <f>IF(F62="","",C62*L$7)</f>
        <v>0</v>
      </c>
      <c r="L62" s="37"/>
      <c r="M62" s="40">
        <f>IF(J62="","",(K62/J62)/1000)</f>
        <v>0</v>
      </c>
      <c r="N62" s="36"/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/>
      <c r="F63" s="38"/>
      <c r="G63" s="36"/>
      <c r="H63" s="36"/>
      <c r="I63" s="36"/>
      <c r="J63" s="36"/>
      <c r="K63" s="37">
        <f>IF(F63="","",C63*L$7)</f>
        <v>0</v>
      </c>
      <c r="L63" s="37"/>
      <c r="M63" s="40">
        <f>IF(J63="","",(K63/J63)/1000)</f>
        <v>0</v>
      </c>
      <c r="N63" s="36"/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/>
      <c r="F64" s="38"/>
      <c r="G64" s="36"/>
      <c r="H64" s="36"/>
      <c r="I64" s="36"/>
      <c r="J64" s="36"/>
      <c r="K64" s="37">
        <f>IF(F64="","",C64*L$7)</f>
        <v>0</v>
      </c>
      <c r="L64" s="37"/>
      <c r="M64" s="40">
        <f>IF(J64="","",(K64/J64)/1000)</f>
        <v>0</v>
      </c>
      <c r="N64" s="36"/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/>
      <c r="F65" s="38"/>
      <c r="G65" s="36"/>
      <c r="H65" s="36"/>
      <c r="I65" s="36"/>
      <c r="J65" s="36"/>
      <c r="K65" s="37">
        <f>IF(F65="","",C65*L$7)</f>
        <v>0</v>
      </c>
      <c r="L65" s="37"/>
      <c r="M65" s="40">
        <f>IF(J65="","",(K65/J65)/1000)</f>
        <v>0</v>
      </c>
      <c r="N65" s="36"/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/>
      <c r="F66" s="38"/>
      <c r="G66" s="36"/>
      <c r="H66" s="36"/>
      <c r="I66" s="36"/>
      <c r="J66" s="36"/>
      <c r="K66" s="37">
        <f>IF(F66="","",C66*L$7)</f>
        <v>0</v>
      </c>
      <c r="L66" s="37"/>
      <c r="M66" s="40">
        <f>IF(J66="","",(K66/J66)/1000)</f>
        <v>0</v>
      </c>
      <c r="N66" s="36"/>
      <c r="O66" s="38"/>
      <c r="P66" s="39"/>
      <c r="Q66" s="39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/>
      <c r="F67" s="38"/>
      <c r="G67" s="36"/>
      <c r="H67" s="36"/>
      <c r="I67" s="36"/>
      <c r="J67" s="36"/>
      <c r="K67" s="37">
        <f>IF(F67="","",C67*L$7)</f>
        <v>0</v>
      </c>
      <c r="L67" s="37"/>
      <c r="M67" s="40">
        <f>IF(J67="","",(K67/J67)/1000)</f>
        <v>0</v>
      </c>
      <c r="N67" s="36"/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/>
      <c r="F68" s="38"/>
      <c r="G68" s="36"/>
      <c r="H68" s="36"/>
      <c r="I68" s="36"/>
      <c r="J68" s="36"/>
      <c r="K68" s="37">
        <f>IF(F68="","",C68*L$7)</f>
        <v>0</v>
      </c>
      <c r="L68" s="37"/>
      <c r="M68" s="40">
        <f>IF(J68="","",(K68/J68)/1000)</f>
        <v>0</v>
      </c>
      <c r="N68" s="36"/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0</v>
      </c>
      <c r="F69" s="38"/>
      <c r="G69" s="36"/>
      <c r="H69" s="36"/>
      <c r="I69" s="36"/>
      <c r="J69" s="36"/>
      <c r="K69" s="37">
        <f>IF(F69="","",C69*L$7)</f>
        <v>0</v>
      </c>
      <c r="L69" s="37"/>
      <c r="M69" s="40">
        <f>IF(J69="","",(K69/J69)/1000)</f>
        <v>0</v>
      </c>
      <c r="N69" s="36"/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0</v>
      </c>
      <c r="F70" s="38"/>
      <c r="G70" s="36"/>
      <c r="H70" s="36"/>
      <c r="I70" s="36"/>
      <c r="J70" s="36"/>
      <c r="K70" s="37">
        <f>IF(F70="","",C70*L$7)</f>
        <v>0</v>
      </c>
      <c r="L70" s="37"/>
      <c r="M70" s="40">
        <f>IF(J70="","",(K70/J70)/1000)</f>
        <v>0</v>
      </c>
      <c r="N70" s="36"/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0</v>
      </c>
      <c r="F71" s="38"/>
      <c r="G71" s="36"/>
      <c r="H71" s="36"/>
      <c r="I71" s="36"/>
      <c r="J71" s="36"/>
      <c r="K71" s="37">
        <f>IF(F71="","",C71*L$7)</f>
        <v>0</v>
      </c>
      <c r="L71" s="37"/>
      <c r="M71" s="40">
        <f>IF(J71="","",(K71/J71)/1000)</f>
        <v>0</v>
      </c>
      <c r="N71" s="36"/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0</v>
      </c>
      <c r="F72" s="38"/>
      <c r="G72" s="36"/>
      <c r="H72" s="36"/>
      <c r="I72" s="36"/>
      <c r="J72" s="36"/>
      <c r="K72" s="37">
        <f>IF(F72="","",C72*L$7)</f>
        <v>0</v>
      </c>
      <c r="L72" s="37"/>
      <c r="M72" s="40">
        <f>IF(J72="","",(K72/J72)/1000)</f>
        <v>0</v>
      </c>
      <c r="N72" s="36"/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0</v>
      </c>
      <c r="F73" s="38"/>
      <c r="G73" s="36"/>
      <c r="H73" s="36"/>
      <c r="I73" s="36"/>
      <c r="J73" s="36"/>
      <c r="K73" s="37">
        <f>IF(F73="","",C73*L$7)</f>
        <v>0</v>
      </c>
      <c r="L73" s="37"/>
      <c r="M73" s="40">
        <f>IF(J73="","",(K73/J73)/1000)</f>
        <v>0</v>
      </c>
      <c r="N73" s="36"/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0</v>
      </c>
      <c r="F74" s="38"/>
      <c r="G74" s="36"/>
      <c r="H74" s="36"/>
      <c r="I74" s="36"/>
      <c r="J74" s="36"/>
      <c r="K74" s="37">
        <f>IF(F74="","",C74*L$7)</f>
        <v>0</v>
      </c>
      <c r="L74" s="37"/>
      <c r="M74" s="40">
        <f>IF(J74="","",(K74/J74)/1000)</f>
        <v>0</v>
      </c>
      <c r="N74" s="36"/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0</v>
      </c>
      <c r="F75" s="38"/>
      <c r="G75" s="36"/>
      <c r="H75" s="36"/>
      <c r="I75" s="36"/>
      <c r="J75" s="36"/>
      <c r="K75" s="37">
        <f>IF(F75="","",C75*L$7)</f>
        <v>0</v>
      </c>
      <c r="L75" s="37"/>
      <c r="M75" s="40">
        <f>IF(J75="","",(K75/J75)/1000)</f>
        <v>0</v>
      </c>
      <c r="N75" s="36"/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0</v>
      </c>
      <c r="F76" s="38"/>
      <c r="G76" s="36"/>
      <c r="H76" s="36"/>
      <c r="I76" s="36"/>
      <c r="J76" s="36"/>
      <c r="K76" s="37">
        <f>IF(F76="","",C76*L$7)</f>
        <v>0</v>
      </c>
      <c r="L76" s="37"/>
      <c r="M76" s="40">
        <f>IF(J76="","",(K76/J76)/1000)</f>
        <v>0</v>
      </c>
      <c r="N76" s="36"/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0</v>
      </c>
      <c r="F77" s="38"/>
      <c r="G77" s="36"/>
      <c r="H77" s="36"/>
      <c r="I77" s="36"/>
      <c r="J77" s="36"/>
      <c r="K77" s="37">
        <f>IF(F77="","",C77*L$7)</f>
        <v>0</v>
      </c>
      <c r="L77" s="37"/>
      <c r="M77" s="40">
        <f>IF(J77="","",(K77/J77)/1000)</f>
        <v>0</v>
      </c>
      <c r="N77" s="36"/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0</v>
      </c>
      <c r="F78" s="38"/>
      <c r="G78" s="36"/>
      <c r="H78" s="36"/>
      <c r="I78" s="36"/>
      <c r="J78" s="36"/>
      <c r="K78" s="37">
        <f>IF(F78="","",C78*L$7)</f>
        <v>0</v>
      </c>
      <c r="L78" s="37"/>
      <c r="M78" s="40">
        <f>IF(J78="","",(K78/J78)/1000)</f>
        <v>0</v>
      </c>
      <c r="N78" s="36"/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0</v>
      </c>
      <c r="F79" s="38"/>
      <c r="G79" s="36"/>
      <c r="H79" s="36"/>
      <c r="I79" s="36"/>
      <c r="J79" s="36"/>
      <c r="K79" s="37">
        <f>IF(F79="","",C79*L$7)</f>
        <v>0</v>
      </c>
      <c r="L79" s="37"/>
      <c r="M79" s="40">
        <f>IF(J79="","",(K79/J79)/1000)</f>
        <v>0</v>
      </c>
      <c r="N79" s="36"/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0</v>
      </c>
      <c r="F80" s="38"/>
      <c r="G80" s="36"/>
      <c r="H80" s="36"/>
      <c r="I80" s="36"/>
      <c r="J80" s="36"/>
      <c r="K80" s="37">
        <f>IF(F80="","",C80*L$7)</f>
        <v>0</v>
      </c>
      <c r="L80" s="37"/>
      <c r="M80" s="40">
        <f>IF(J80="","",(K80/J80)/1000)</f>
        <v>0</v>
      </c>
      <c r="N80" s="36"/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0</v>
      </c>
      <c r="F81" s="38"/>
      <c r="G81" s="36"/>
      <c r="H81" s="36"/>
      <c r="I81" s="36"/>
      <c r="J81" s="36"/>
      <c r="K81" s="37">
        <f>IF(F81="","",C81*L$7)</f>
        <v>0</v>
      </c>
      <c r="L81" s="37"/>
      <c r="M81" s="40">
        <f>IF(J81="","",(K81/J81)/1000)</f>
        <v>0</v>
      </c>
      <c r="N81" s="36"/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0</v>
      </c>
      <c r="F82" s="38"/>
      <c r="G82" s="36"/>
      <c r="H82" s="36"/>
      <c r="I82" s="36"/>
      <c r="J82" s="36"/>
      <c r="K82" s="37">
        <f>IF(F82="","",C82*L$7)</f>
        <v>0</v>
      </c>
      <c r="L82" s="37"/>
      <c r="M82" s="40">
        <f>IF(J82="","",(K82/J82)/1000)</f>
        <v>0</v>
      </c>
      <c r="N82" s="36"/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0</v>
      </c>
      <c r="F83" s="38"/>
      <c r="G83" s="36"/>
      <c r="H83" s="36"/>
      <c r="I83" s="36"/>
      <c r="J83" s="36"/>
      <c r="K83" s="37">
        <f>IF(F83="","",C83*L$7)</f>
        <v>0</v>
      </c>
      <c r="L83" s="37"/>
      <c r="M83" s="40">
        <f>IF(J83="","",(K83/J83)/1000)</f>
        <v>0</v>
      </c>
      <c r="N83" s="36"/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0</v>
      </c>
      <c r="F84" s="38"/>
      <c r="G84" s="36"/>
      <c r="H84" s="36"/>
      <c r="I84" s="36"/>
      <c r="J84" s="36"/>
      <c r="K84" s="37">
        <f>IF(F84="","",C84*L$7)</f>
        <v>0</v>
      </c>
      <c r="L84" s="37"/>
      <c r="M84" s="40">
        <f>IF(J84="","",(K84/J84)/1000)</f>
        <v>0</v>
      </c>
      <c r="N84" s="36"/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0</v>
      </c>
      <c r="F85" s="38"/>
      <c r="G85" s="36"/>
      <c r="H85" s="36"/>
      <c r="I85" s="36"/>
      <c r="J85" s="36"/>
      <c r="K85" s="37">
        <f>IF(F85="","",C85*L$7)</f>
        <v>0</v>
      </c>
      <c r="L85" s="37"/>
      <c r="M85" s="40">
        <f>IF(J85="","",(K85/J85)/1000)</f>
        <v>0</v>
      </c>
      <c r="N85" s="36"/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0</v>
      </c>
      <c r="F86" s="38"/>
      <c r="G86" s="36"/>
      <c r="H86" s="36"/>
      <c r="I86" s="36"/>
      <c r="J86" s="36"/>
      <c r="K86" s="37">
        <f>IF(F86="","",C86*L$7)</f>
        <v>0</v>
      </c>
      <c r="L86" s="37"/>
      <c r="M86" s="40">
        <f>IF(J86="","",(K86/J86)/1000)</f>
        <v>0</v>
      </c>
      <c r="N86" s="36"/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0</v>
      </c>
      <c r="F87" s="38"/>
      <c r="G87" s="36"/>
      <c r="H87" s="36"/>
      <c r="I87" s="36"/>
      <c r="J87" s="36"/>
      <c r="K87" s="37">
        <f>IF(F87="","",C87*L$7)</f>
        <v>0</v>
      </c>
      <c r="L87" s="37"/>
      <c r="M87" s="40">
        <f>IF(J87="","",(K87/J87)/1000)</f>
        <v>0</v>
      </c>
      <c r="N87" s="36"/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0</v>
      </c>
      <c r="F88" s="38"/>
      <c r="G88" s="36"/>
      <c r="H88" s="36"/>
      <c r="I88" s="36"/>
      <c r="J88" s="36"/>
      <c r="K88" s="37">
        <f>IF(F88="","",C88*L$7)</f>
        <v>0</v>
      </c>
      <c r="L88" s="37"/>
      <c r="M88" s="40">
        <f>IF(J88="","",(K88/J88)/1000)</f>
        <v>0</v>
      </c>
      <c r="N88" s="36"/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0</v>
      </c>
      <c r="F89" s="38"/>
      <c r="G89" s="36"/>
      <c r="H89" s="36"/>
      <c r="I89" s="36"/>
      <c r="J89" s="36"/>
      <c r="K89" s="37">
        <f>IF(F89="","",C89*L$7)</f>
        <v>0</v>
      </c>
      <c r="L89" s="37"/>
      <c r="M89" s="40">
        <f>IF(J89="","",(K89/J89)/1000)</f>
        <v>0</v>
      </c>
      <c r="N89" s="36"/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0</v>
      </c>
      <c r="F90" s="38"/>
      <c r="G90" s="36"/>
      <c r="H90" s="36"/>
      <c r="I90" s="36"/>
      <c r="J90" s="36"/>
      <c r="K90" s="37">
        <f>IF(F90="","",C90*L$7)</f>
        <v>0</v>
      </c>
      <c r="L90" s="37"/>
      <c r="M90" s="40">
        <f>IF(J90="","",(K90/J90)/1000)</f>
        <v>0</v>
      </c>
      <c r="N90" s="36"/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0</v>
      </c>
      <c r="F91" s="38"/>
      <c r="G91" s="36"/>
      <c r="H91" s="36"/>
      <c r="I91" s="36"/>
      <c r="J91" s="36"/>
      <c r="K91" s="37">
        <f>IF(F91="","",C91*L$7)</f>
        <v>0</v>
      </c>
      <c r="L91" s="37"/>
      <c r="M91" s="40">
        <f>IF(J91="","",(K91/J91)/1000)</f>
        <v>0</v>
      </c>
      <c r="N91" s="36"/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0</v>
      </c>
      <c r="F92" s="38"/>
      <c r="G92" s="36"/>
      <c r="H92" s="36"/>
      <c r="I92" s="36"/>
      <c r="J92" s="36"/>
      <c r="K92" s="37">
        <f>IF(F92="","",C92*L$7)</f>
        <v>0</v>
      </c>
      <c r="L92" s="37"/>
      <c r="M92" s="40">
        <f>IF(J92="","",(K92/J92)/1000)</f>
        <v>0</v>
      </c>
      <c r="N92" s="36"/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0</v>
      </c>
      <c r="F93" s="38"/>
      <c r="G93" s="36"/>
      <c r="H93" s="36"/>
      <c r="I93" s="36"/>
      <c r="J93" s="36"/>
      <c r="K93" s="37">
        <f>IF(F93="","",C93*L$7)</f>
        <v>0</v>
      </c>
      <c r="L93" s="37"/>
      <c r="M93" s="40">
        <f>IF(J93="","",(K93/J93)/1000)</f>
        <v>0</v>
      </c>
      <c r="N93" s="36"/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0</v>
      </c>
      <c r="F94" s="38"/>
      <c r="G94" s="36"/>
      <c r="H94" s="36"/>
      <c r="I94" s="36"/>
      <c r="J94" s="36"/>
      <c r="K94" s="37">
        <f>IF(F94="","",C94*L$7)</f>
        <v>0</v>
      </c>
      <c r="L94" s="37"/>
      <c r="M94" s="40">
        <f>IF(J94="","",(K94/J94)/1000)</f>
        <v>0</v>
      </c>
      <c r="N94" s="36"/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0</v>
      </c>
      <c r="F95" s="38"/>
      <c r="G95" s="36"/>
      <c r="H95" s="36"/>
      <c r="I95" s="36"/>
      <c r="J95" s="36"/>
      <c r="K95" s="37">
        <f>IF(F95="","",C95*L$7)</f>
        <v>0</v>
      </c>
      <c r="L95" s="37"/>
      <c r="M95" s="40">
        <f>IF(J95="","",(K95/J95)/1000)</f>
        <v>0</v>
      </c>
      <c r="N95" s="36"/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0</v>
      </c>
      <c r="F96" s="38"/>
      <c r="G96" s="36"/>
      <c r="H96" s="36"/>
      <c r="I96" s="36"/>
      <c r="J96" s="36"/>
      <c r="K96" s="37">
        <f>IF(F96="","",C96*L$7)</f>
        <v>0</v>
      </c>
      <c r="L96" s="37"/>
      <c r="M96" s="40">
        <f>IF(J96="","",(K96/J96)/1000)</f>
        <v>0</v>
      </c>
      <c r="N96" s="36"/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0</v>
      </c>
      <c r="F97" s="38"/>
      <c r="G97" s="36"/>
      <c r="H97" s="36"/>
      <c r="I97" s="36"/>
      <c r="J97" s="36"/>
      <c r="K97" s="37">
        <f>IF(F97="","",C97*L$7)</f>
        <v>0</v>
      </c>
      <c r="L97" s="37"/>
      <c r="M97" s="40">
        <f>IF(J97="","",(K97/J97)/1000)</f>
        <v>0</v>
      </c>
      <c r="N97" s="36"/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0</v>
      </c>
      <c r="F98" s="38"/>
      <c r="G98" s="36"/>
      <c r="H98" s="36"/>
      <c r="I98" s="36"/>
      <c r="J98" s="36"/>
      <c r="K98" s="37">
        <f>IF(F98="","",C98*L$7)</f>
        <v>0</v>
      </c>
      <c r="L98" s="37"/>
      <c r="M98" s="40">
        <f>IF(J98="","",(K98/J98)/1000)</f>
        <v>0</v>
      </c>
      <c r="N98" s="36"/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0</v>
      </c>
      <c r="F99" s="38"/>
      <c r="G99" s="36"/>
      <c r="H99" s="36"/>
      <c r="I99" s="36"/>
      <c r="J99" s="36"/>
      <c r="K99" s="37">
        <f>IF(F99="","",C99*L$7)</f>
        <v>0</v>
      </c>
      <c r="L99" s="37"/>
      <c r="M99" s="40">
        <f>IF(J99="","",(K99/J99)/1000)</f>
        <v>0</v>
      </c>
      <c r="N99" s="36"/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0</v>
      </c>
      <c r="F100" s="38"/>
      <c r="G100" s="36"/>
      <c r="H100" s="36"/>
      <c r="I100" s="36"/>
      <c r="J100" s="36"/>
      <c r="K100" s="37">
        <f>IF(F100="","",C100*L$7)</f>
        <v>0</v>
      </c>
      <c r="L100" s="37"/>
      <c r="M100" s="40">
        <f>IF(J100="","",(K100/J100)/1000)</f>
        <v>0</v>
      </c>
      <c r="N100" s="36"/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0</v>
      </c>
      <c r="F101" s="38"/>
      <c r="G101" s="36"/>
      <c r="H101" s="36"/>
      <c r="I101" s="36"/>
      <c r="J101" s="36"/>
      <c r="K101" s="37">
        <f>IF(F101="","",C101*L$7)</f>
        <v>0</v>
      </c>
      <c r="L101" s="37"/>
      <c r="M101" s="40">
        <f>IF(J101="","",(K101/J101)/1000)</f>
        <v>0</v>
      </c>
      <c r="N101" s="36"/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0</v>
      </c>
      <c r="F102" s="38"/>
      <c r="G102" s="36"/>
      <c r="H102" s="36"/>
      <c r="I102" s="36"/>
      <c r="J102" s="36"/>
      <c r="K102" s="37">
        <f>IF(F102="","",C102*L$7)</f>
        <v>0</v>
      </c>
      <c r="L102" s="37"/>
      <c r="M102" s="40">
        <f>IF(J102="","",(K102/J102)/1000)</f>
        <v>0</v>
      </c>
      <c r="N102" s="36"/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0</v>
      </c>
      <c r="F103" s="38"/>
      <c r="G103" s="36"/>
      <c r="H103" s="36"/>
      <c r="I103" s="36"/>
      <c r="J103" s="36"/>
      <c r="K103" s="37">
        <f>IF(F103="","",C103*L$7)</f>
        <v>0</v>
      </c>
      <c r="L103" s="37"/>
      <c r="M103" s="40">
        <f>IF(J103="","",(K103/J103)/1000)</f>
        <v>0</v>
      </c>
      <c r="N103" s="36"/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0</v>
      </c>
      <c r="F104" s="38"/>
      <c r="G104" s="36"/>
      <c r="H104" s="36"/>
      <c r="I104" s="36"/>
      <c r="J104" s="36"/>
      <c r="K104" s="37">
        <f>IF(F104="","",C104*L$7)</f>
        <v>0</v>
      </c>
      <c r="L104" s="37"/>
      <c r="M104" s="40">
        <f>IF(J104="","",(K104/J104)/1000)</f>
        <v>0</v>
      </c>
      <c r="N104" s="36"/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0</v>
      </c>
      <c r="F105" s="38"/>
      <c r="G105" s="36"/>
      <c r="H105" s="36"/>
      <c r="I105" s="36"/>
      <c r="J105" s="36"/>
      <c r="K105" s="37">
        <f>IF(F105="","",C105*L$7)</f>
        <v>0</v>
      </c>
      <c r="L105" s="37"/>
      <c r="M105" s="40">
        <f>IF(J105="","",(K105/J105)/1000)</f>
        <v>0</v>
      </c>
      <c r="N105" s="36"/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0</v>
      </c>
      <c r="F106" s="38"/>
      <c r="G106" s="36"/>
      <c r="H106" s="36"/>
      <c r="I106" s="36"/>
      <c r="J106" s="36"/>
      <c r="K106" s="37">
        <f>IF(F106="","",C106*L$7)</f>
        <v>0</v>
      </c>
      <c r="L106" s="37"/>
      <c r="M106" s="40">
        <f>IF(J106="","",(K106/J106)/1000)</f>
        <v>0</v>
      </c>
      <c r="N106" s="36"/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0</v>
      </c>
      <c r="F107" s="38"/>
      <c r="G107" s="36"/>
      <c r="H107" s="36"/>
      <c r="I107" s="36"/>
      <c r="J107" s="36"/>
      <c r="K107" s="37">
        <f>IF(F107="","",C107*L$7)</f>
        <v>0</v>
      </c>
      <c r="L107" s="37"/>
      <c r="M107" s="40">
        <f>IF(J107="","",(K107/J107)/1000)</f>
        <v>0</v>
      </c>
      <c r="N107" s="36"/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0</v>
      </c>
      <c r="F108" s="38"/>
      <c r="G108" s="36"/>
      <c r="H108" s="36"/>
      <c r="I108" s="36"/>
      <c r="J108" s="36"/>
      <c r="K108" s="37">
        <f>IF(F108="","",C108*L$7)</f>
        <v>0</v>
      </c>
      <c r="L108" s="37"/>
      <c r="M108" s="40">
        <f>IF(J108="","",(K108/J108)/1000)</f>
        <v>0</v>
      </c>
      <c r="N108" s="36"/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/>
      <c r="F109" s="38"/>
      <c r="G109" s="36"/>
      <c r="H109" s="36"/>
      <c r="I109" s="36"/>
      <c r="J109" s="36"/>
      <c r="K109" s="37">
        <f>IF(F109="","",C109*L$7)</f>
        <v>0</v>
      </c>
      <c r="L109" s="37"/>
      <c r="M109" s="40">
        <f>IF(J109="","",(K109/J109)/1000)</f>
        <v>0</v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80" zoomScaleNormal="80" zoomScaleSheetLayoutView="100" workbookViewId="0" topLeftCell="A1">
      <selection activeCell="A22" sqref="A22"/>
    </sheetView>
  </sheetViews>
  <sheetFormatPr defaultColWidth="9.00390625" defaultRowHeight="13.5"/>
  <cols>
    <col min="1" max="1" width="5.125" style="0" customWidth="1"/>
  </cols>
  <sheetData>
    <row r="1" spans="1:10" ht="12.75">
      <c r="A1" s="44" t="s">
        <v>39</v>
      </c>
      <c r="C1" s="45"/>
      <c r="D1" s="45"/>
      <c r="E1" s="45"/>
      <c r="F1" s="45"/>
      <c r="G1" s="45"/>
      <c r="H1" s="45"/>
      <c r="I1" s="45"/>
      <c r="J1" s="45"/>
    </row>
    <row r="3" spans="1:10" ht="12.75">
      <c r="A3" t="s">
        <v>47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t="s">
        <v>48</v>
      </c>
      <c r="B4" s="45"/>
      <c r="C4" s="45"/>
      <c r="D4" s="45"/>
      <c r="E4" s="45"/>
      <c r="F4" s="45"/>
      <c r="G4" s="45"/>
      <c r="H4" s="45"/>
      <c r="I4" s="45"/>
      <c r="J4" s="45"/>
    </row>
    <row r="5" ht="12.75">
      <c r="A5" t="s">
        <v>49</v>
      </c>
    </row>
    <row r="7" spans="2:10" ht="12.75" customHeight="1">
      <c r="B7" s="46"/>
      <c r="C7" s="46"/>
      <c r="D7" s="46"/>
      <c r="E7" s="46"/>
      <c r="F7" s="46"/>
      <c r="G7" s="46"/>
      <c r="H7" s="46"/>
      <c r="I7" s="46"/>
      <c r="J7" s="46"/>
    </row>
    <row r="8" spans="2:10" ht="12.75">
      <c r="B8" s="46"/>
      <c r="C8" s="46"/>
      <c r="D8" s="46"/>
      <c r="E8" s="46"/>
      <c r="F8" s="46"/>
      <c r="G8" s="46"/>
      <c r="H8" s="46"/>
      <c r="I8" s="46"/>
      <c r="J8" s="46"/>
    </row>
    <row r="9" spans="2:10" ht="12.75"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44" t="s">
        <v>41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2:10" ht="12.75"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t="s">
        <v>50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>
      <c r="A13" t="s">
        <v>51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2.75">
      <c r="A14" t="s">
        <v>52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>
      <c r="A15" t="s">
        <v>53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>
      <c r="A16" s="47"/>
      <c r="B16" s="46"/>
      <c r="C16" s="46"/>
      <c r="D16" s="46"/>
      <c r="E16" s="46"/>
      <c r="F16" s="46"/>
      <c r="G16" s="46"/>
      <c r="H16" s="46"/>
      <c r="I16" s="46"/>
      <c r="J16" s="46"/>
    </row>
    <row r="17" spans="2:10" ht="12.75">
      <c r="B17" s="46"/>
      <c r="C17" s="46"/>
      <c r="D17" s="46"/>
      <c r="E17" s="46"/>
      <c r="F17" s="46"/>
      <c r="G17" s="46"/>
      <c r="H17" s="46"/>
      <c r="I17" s="46"/>
      <c r="J17" s="46"/>
    </row>
    <row r="18" spans="2:10" ht="12.75"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4" t="s">
        <v>42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2:10" ht="12.75"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t="s">
        <v>54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.75">
      <c r="A22" t="s">
        <v>55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2:10" ht="12.75">
      <c r="B23" s="46"/>
      <c r="C23" s="46"/>
      <c r="D23" s="46"/>
      <c r="E23" s="46"/>
      <c r="F23" s="46"/>
      <c r="G23" s="46"/>
      <c r="H23" s="46"/>
      <c r="I23" s="46"/>
      <c r="J23" s="46"/>
    </row>
    <row r="24" spans="2:10" ht="12.75"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2.75">
      <c r="A25" t="s">
        <v>56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2.75">
      <c r="A26" s="48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2.75">
      <c r="A27" s="47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47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47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2.75">
      <c r="A30" s="47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49" customFormat="1" ht="12.75">
      <c r="A31" s="48"/>
      <c r="B31" s="45"/>
      <c r="C31" s="45"/>
      <c r="D31" s="45"/>
      <c r="E31" s="45"/>
      <c r="F31" s="45"/>
      <c r="G31" s="45"/>
      <c r="H31" s="45"/>
      <c r="I31" s="45"/>
      <c r="J31" s="45"/>
    </row>
    <row r="32" spans="1:10" s="52" customFormat="1" ht="12.75">
      <c r="A32" s="50"/>
      <c r="B32" s="51"/>
      <c r="C32" s="51"/>
      <c r="D32" s="51"/>
      <c r="E32" s="51"/>
      <c r="F32" s="51"/>
      <c r="G32" s="51"/>
      <c r="H32" s="51"/>
      <c r="I32" s="51"/>
      <c r="J32" s="51"/>
    </row>
    <row r="33" spans="1:10" s="52" customFormat="1" ht="12.75">
      <c r="A33" s="50"/>
      <c r="B33" s="51"/>
      <c r="C33" s="51"/>
      <c r="D33" s="51"/>
      <c r="E33" s="51"/>
      <c r="F33" s="51"/>
      <c r="G33" s="51"/>
      <c r="H33" s="51"/>
      <c r="I33" s="51"/>
      <c r="J33" s="51"/>
    </row>
    <row r="34" spans="1:10" s="49" customFormat="1" ht="12.75">
      <c r="A34" s="48"/>
      <c r="B34" s="45"/>
      <c r="C34" s="45"/>
      <c r="D34" s="45"/>
      <c r="E34" s="45"/>
      <c r="F34" s="45"/>
      <c r="G34" s="45"/>
      <c r="H34" s="45"/>
      <c r="I34" s="45"/>
      <c r="J34" s="45"/>
    </row>
    <row r="35" s="49" customFormat="1" ht="12.75"/>
    <row r="36" spans="1:10" s="49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6"/>
      <c r="B37" s="46"/>
      <c r="C37" s="46"/>
      <c r="D37" s="46"/>
      <c r="E37" s="46"/>
      <c r="F37" s="46"/>
      <c r="G37" s="46"/>
      <c r="H37" s="46"/>
      <c r="I37" s="46"/>
      <c r="J37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zoomScale="80" zoomScaleNormal="80" zoomScaleSheetLayoutView="100" workbookViewId="0" topLeftCell="A1">
      <selection activeCell="H7" sqref="H7"/>
    </sheetView>
  </sheetViews>
  <sheetFormatPr defaultColWidth="9.00390625" defaultRowHeight="13.5"/>
  <cols>
    <col min="1" max="1" width="3.125" style="55" customWidth="1"/>
    <col min="2" max="2" width="13.25390625" style="56" customWidth="1"/>
    <col min="3" max="3" width="15.75390625" style="57" customWidth="1"/>
    <col min="4" max="4" width="13.00390625" style="57" customWidth="1"/>
    <col min="5" max="5" width="15.875" style="58" customWidth="1"/>
    <col min="6" max="6" width="15.875" style="57" customWidth="1"/>
    <col min="7" max="7" width="15.875" style="58" customWidth="1"/>
    <col min="8" max="8" width="15.875" style="57" customWidth="1"/>
    <col min="9" max="9" width="15.875" style="58" customWidth="1"/>
    <col min="10" max="16384" width="8.875" style="55" customWidth="1"/>
  </cols>
  <sheetData>
    <row r="2" spans="2:3" ht="12.75">
      <c r="B2" s="59" t="s">
        <v>57</v>
      </c>
      <c r="C2" s="55"/>
    </row>
    <row r="4" spans="2:9" ht="12.75">
      <c r="B4" s="60" t="s">
        <v>58</v>
      </c>
      <c r="C4" s="60" t="s">
        <v>0</v>
      </c>
      <c r="D4" s="60" t="s">
        <v>59</v>
      </c>
      <c r="E4" s="61" t="s">
        <v>60</v>
      </c>
      <c r="F4" s="60" t="s">
        <v>61</v>
      </c>
      <c r="G4" s="61" t="s">
        <v>60</v>
      </c>
      <c r="H4" s="60" t="s">
        <v>62</v>
      </c>
      <c r="I4" s="61" t="s">
        <v>60</v>
      </c>
    </row>
    <row r="5" spans="2:9" ht="12.75">
      <c r="B5" s="62" t="s">
        <v>63</v>
      </c>
      <c r="C5" s="63" t="s">
        <v>64</v>
      </c>
      <c r="D5" s="63" t="s">
        <v>65</v>
      </c>
      <c r="E5" s="64" t="s">
        <v>65</v>
      </c>
      <c r="F5" s="63">
        <v>52</v>
      </c>
      <c r="G5" s="64">
        <v>42525</v>
      </c>
      <c r="H5" s="63">
        <v>50</v>
      </c>
      <c r="I5" s="64">
        <v>42526</v>
      </c>
    </row>
    <row r="6" spans="2:9" ht="12.75">
      <c r="B6" s="62" t="s">
        <v>63</v>
      </c>
      <c r="C6" s="63" t="s">
        <v>66</v>
      </c>
      <c r="D6" s="63" t="s">
        <v>65</v>
      </c>
      <c r="E6" s="64" t="s">
        <v>65</v>
      </c>
      <c r="F6" s="63">
        <v>47</v>
      </c>
      <c r="G6" s="64">
        <v>42530</v>
      </c>
      <c r="H6" s="63">
        <v>50</v>
      </c>
      <c r="I6" s="64">
        <v>42533</v>
      </c>
    </row>
    <row r="7" spans="2:9" ht="12.75">
      <c r="B7" s="62" t="s">
        <v>63</v>
      </c>
      <c r="C7" s="63" t="s">
        <v>67</v>
      </c>
      <c r="D7" s="63" t="s">
        <v>65</v>
      </c>
      <c r="E7" s="64" t="s">
        <v>65</v>
      </c>
      <c r="F7" s="63">
        <v>37</v>
      </c>
      <c r="G7" s="64">
        <v>42541</v>
      </c>
      <c r="H7" s="63"/>
      <c r="I7" s="64"/>
    </row>
    <row r="8" spans="2:9" ht="12.75">
      <c r="B8" s="62" t="s">
        <v>63</v>
      </c>
      <c r="C8" s="63"/>
      <c r="D8" s="63" t="s">
        <v>65</v>
      </c>
      <c r="E8" s="64" t="s">
        <v>65</v>
      </c>
      <c r="F8" s="63"/>
      <c r="G8" s="64"/>
      <c r="H8" s="63"/>
      <c r="I8" s="64"/>
    </row>
    <row r="9" spans="2:9" ht="12.75">
      <c r="B9" s="62" t="s">
        <v>63</v>
      </c>
      <c r="C9" s="63"/>
      <c r="D9" s="63" t="s">
        <v>65</v>
      </c>
      <c r="E9" s="64" t="s">
        <v>65</v>
      </c>
      <c r="F9" s="63"/>
      <c r="G9" s="64"/>
      <c r="H9" s="63"/>
      <c r="I9" s="64"/>
    </row>
    <row r="10" spans="2:9" ht="12.75">
      <c r="B10" s="62" t="s">
        <v>63</v>
      </c>
      <c r="C10" s="63"/>
      <c r="D10" s="63" t="s">
        <v>65</v>
      </c>
      <c r="E10" s="64" t="s">
        <v>65</v>
      </c>
      <c r="F10" s="63"/>
      <c r="G10" s="64"/>
      <c r="H10" s="63"/>
      <c r="I10" s="64"/>
    </row>
    <row r="11" spans="2:9" ht="12.75">
      <c r="B11" s="62" t="s">
        <v>63</v>
      </c>
      <c r="C11" s="63"/>
      <c r="D11" s="63" t="s">
        <v>65</v>
      </c>
      <c r="E11" s="64" t="s">
        <v>65</v>
      </c>
      <c r="F11" s="63"/>
      <c r="G11" s="64"/>
      <c r="H11" s="63"/>
      <c r="I11" s="64"/>
    </row>
    <row r="12" spans="2:9" ht="12.75">
      <c r="B12" s="62" t="s">
        <v>63</v>
      </c>
      <c r="C12" s="63"/>
      <c r="D12" s="63" t="s">
        <v>65</v>
      </c>
      <c r="E12" s="64" t="s">
        <v>65</v>
      </c>
      <c r="F12" s="63"/>
      <c r="G12" s="64"/>
      <c r="H12" s="63"/>
      <c r="I12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R9" sqref="R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68</v>
      </c>
      <c r="E2" s="3"/>
      <c r="F2" s="2" t="s">
        <v>2</v>
      </c>
      <c r="G2" s="2"/>
      <c r="H2" s="3" t="s">
        <v>59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69</v>
      </c>
      <c r="E3" s="6"/>
      <c r="F3" s="6"/>
      <c r="G3" s="6"/>
      <c r="H3" s="6"/>
      <c r="I3" s="6"/>
      <c r="J3" s="2" t="s">
        <v>8</v>
      </c>
      <c r="K3" s="2"/>
      <c r="L3" s="7" t="s">
        <v>70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  <c r="V8" s="32"/>
    </row>
    <row r="9" spans="2:22" ht="12.75">
      <c r="B9" s="36">
        <v>1</v>
      </c>
      <c r="C9" s="37">
        <v>1000000</v>
      </c>
      <c r="D9" s="37"/>
      <c r="E9" s="36">
        <v>2005</v>
      </c>
      <c r="F9" s="38"/>
      <c r="G9" s="36" t="s">
        <v>36</v>
      </c>
      <c r="H9" s="36"/>
      <c r="I9" s="36"/>
      <c r="J9" s="36"/>
      <c r="K9" s="37">
        <f>IF(F9="","",C9*L$7)</f>
        <v>0</v>
      </c>
      <c r="L9" s="37"/>
      <c r="M9" s="40">
        <f>IF(J9="","",(K9/J9)/1000)</f>
        <v>0</v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  <c r="V9" s="43" t="e">
        <f>IF(T9&gt;0,T9/J9,0)</f>
        <v>#DIV/0!</v>
      </c>
    </row>
    <row r="10" spans="2:22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36</v>
      </c>
      <c r="H10" s="36"/>
      <c r="I10" s="36"/>
      <c r="J10" s="36"/>
      <c r="K10" s="37">
        <f>IF(F10="","",C10*L$7)</f>
        <v>0</v>
      </c>
      <c r="L10" s="37"/>
      <c r="M10" s="40">
        <f>IF(J10="","",(K10/J10)/1000)</f>
        <v>0</v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  <c r="V10" s="43" t="e">
        <f>IF(T10&gt;0,T10/J10,0)</f>
        <v>#DIV/0!</v>
      </c>
    </row>
    <row r="11" spans="2:22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36</v>
      </c>
      <c r="H11" s="36"/>
      <c r="I11" s="36"/>
      <c r="J11" s="36"/>
      <c r="K11" s="37">
        <f>IF(F11="","",C11*L$7)</f>
        <v>0</v>
      </c>
      <c r="L11" s="37"/>
      <c r="M11" s="40">
        <f>IF(J11="","",(K11/J11)/1000)</f>
        <v>0</v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  <c r="V11" s="43" t="e">
        <f>IF(T11&gt;0,T11/J11,0)</f>
        <v>#DIV/0!</v>
      </c>
    </row>
    <row r="12" spans="2:22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36</v>
      </c>
      <c r="H12" s="36"/>
      <c r="I12" s="36"/>
      <c r="J12" s="36"/>
      <c r="K12" s="37">
        <f>IF(F12="","",C12*L$7)</f>
        <v>0</v>
      </c>
      <c r="L12" s="37"/>
      <c r="M12" s="40">
        <f>IF(J12="","",(K12/J12)/1000)</f>
        <v>0</v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  <c r="V12" s="43" t="e">
        <f>IF(T12&gt;0,T12/J12,0)</f>
        <v>#DIV/0!</v>
      </c>
    </row>
    <row r="13" spans="2:22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36</v>
      </c>
      <c r="H13" s="36"/>
      <c r="I13" s="36"/>
      <c r="J13" s="36"/>
      <c r="K13" s="37">
        <f>IF(F13="","",C13*L$7)</f>
        <v>0</v>
      </c>
      <c r="L13" s="37"/>
      <c r="M13" s="40">
        <f>IF(J13="","",(K13/J13)/1000)</f>
        <v>0</v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  <c r="V13" s="43" t="e">
        <f>IF(T13&gt;0,T13/J13,0)</f>
        <v>#DIV/0!</v>
      </c>
    </row>
    <row r="14" spans="2:22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36</v>
      </c>
      <c r="H14" s="36"/>
      <c r="I14" s="36"/>
      <c r="J14" s="36"/>
      <c r="K14" s="37">
        <f>IF(F14="","",C14*L$7)</f>
        <v>0</v>
      </c>
      <c r="L14" s="37"/>
      <c r="M14" s="40">
        <f>IF(J14="","",(K14/J14)/1000)</f>
        <v>0</v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  <c r="V14" s="43" t="e">
        <f>IF(T14&gt;0,T14/J14,0)</f>
        <v>#DIV/0!</v>
      </c>
    </row>
    <row r="15" spans="2:22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36</v>
      </c>
      <c r="H15" s="36"/>
      <c r="I15" s="36"/>
      <c r="J15" s="36"/>
      <c r="K15" s="37">
        <f>IF(F15="","",C15*L$7)</f>
        <v>0</v>
      </c>
      <c r="L15" s="37"/>
      <c r="M15" s="40">
        <f>IF(J15="","",(K15/J15)/1000)</f>
        <v>0</v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  <c r="V15" s="43" t="e">
        <f>IF(T15&gt;0,T15/J15,0)</f>
        <v>#DIV/0!</v>
      </c>
    </row>
    <row r="16" spans="2:22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36</v>
      </c>
      <c r="H16" s="36"/>
      <c r="I16" s="36"/>
      <c r="J16" s="36"/>
      <c r="K16" s="37">
        <f>IF(F16="","",C16*L$7)</f>
        <v>0</v>
      </c>
      <c r="L16" s="37"/>
      <c r="M16" s="40">
        <f>IF(J16="","",(K16/J16)/1000)</f>
        <v>0</v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  <c r="V16" s="43" t="e">
        <f>IF(T16&gt;0,T16/J16,0)</f>
        <v>#DIV/0!</v>
      </c>
    </row>
    <row r="17" spans="2:22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36</v>
      </c>
      <c r="H17" s="36"/>
      <c r="I17" s="36"/>
      <c r="J17" s="36"/>
      <c r="K17" s="37">
        <f>IF(F17="","",C17*L$7)</f>
        <v>0</v>
      </c>
      <c r="L17" s="37"/>
      <c r="M17" s="40">
        <f>IF(J17="","",(K17/J17)/1000)</f>
        <v>0</v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  <c r="V17" s="43" t="e">
        <f>IF(T17&gt;0,T17/J17,0)</f>
        <v>#DIV/0!</v>
      </c>
    </row>
    <row r="18" spans="2:22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36</v>
      </c>
      <c r="H18" s="36"/>
      <c r="I18" s="36"/>
      <c r="J18" s="36"/>
      <c r="K18" s="37">
        <f>IF(F18="","",C18*L$7)</f>
        <v>0</v>
      </c>
      <c r="L18" s="37"/>
      <c r="M18" s="40">
        <f>IF(J18="","",(K18/J18)/1000)</f>
        <v>0</v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  <c r="V18" s="43" t="e">
        <f>IF(T18&gt;0,T18/J18,0)</f>
        <v>#DIV/0!</v>
      </c>
    </row>
    <row r="19" spans="2:22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36</v>
      </c>
      <c r="H19" s="36"/>
      <c r="I19" s="36"/>
      <c r="J19" s="36"/>
      <c r="K19" s="37">
        <f>IF(F19="","",C19*L$7)</f>
        <v>0</v>
      </c>
      <c r="L19" s="37"/>
      <c r="M19" s="40">
        <f>IF(J19="","",(K19/J19)/1000)</f>
        <v>0</v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  <c r="V19" s="43" t="e">
        <f>IF(T19&gt;0,T19/J19,0)</f>
        <v>#DIV/0!</v>
      </c>
    </row>
    <row r="20" spans="2:22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36</v>
      </c>
      <c r="H20" s="36"/>
      <c r="I20" s="36"/>
      <c r="J20" s="36"/>
      <c r="K20" s="37">
        <f>IF(F20="","",C20*L$7)</f>
        <v>0</v>
      </c>
      <c r="L20" s="37"/>
      <c r="M20" s="40">
        <f>IF(J20="","",(K20/J20)/1000)</f>
        <v>0</v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  <c r="V20" s="43" t="e">
        <f>IF(T20&gt;0,T20/J20,0)</f>
        <v>#DIV/0!</v>
      </c>
    </row>
    <row r="21" spans="2:22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36</v>
      </c>
      <c r="H21" s="36"/>
      <c r="I21" s="36"/>
      <c r="J21" s="36"/>
      <c r="K21" s="37">
        <f>IF(F21="","",C21*L$7)</f>
        <v>0</v>
      </c>
      <c r="L21" s="37"/>
      <c r="M21" s="40">
        <f>IF(J21="","",(K21/J21)/1000)</f>
        <v>0</v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  <c r="V21" s="43" t="e">
        <f>IF(T21&gt;0,T21/J21,0)</f>
        <v>#DIV/0!</v>
      </c>
    </row>
    <row r="22" spans="2:22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36</v>
      </c>
      <c r="H22" s="36"/>
      <c r="I22" s="36"/>
      <c r="J22" s="36"/>
      <c r="K22" s="37">
        <f>IF(F22="","",C22*L$7)</f>
        <v>0</v>
      </c>
      <c r="L22" s="37"/>
      <c r="M22" s="40">
        <f>IF(J22="","",(K22/J22)/1000)</f>
        <v>0</v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  <c r="V22" s="43" t="e">
        <f>IF(T22&gt;0,T22/J22,0)</f>
        <v>#DIV/0!</v>
      </c>
    </row>
    <row r="23" spans="2:22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36</v>
      </c>
      <c r="H23" s="36"/>
      <c r="I23" s="36"/>
      <c r="J23" s="36"/>
      <c r="K23" s="37">
        <f>IF(F23="","",C23*L$7)</f>
        <v>0</v>
      </c>
      <c r="L23" s="37"/>
      <c r="M23" s="40">
        <f>IF(J23="","",(K23/J23)/1000)</f>
        <v>0</v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  <c r="V23" s="43" t="e">
        <f>IF(T23&gt;0,T23/J23,0)</f>
        <v>#DIV/0!</v>
      </c>
    </row>
    <row r="24" spans="2:22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36</v>
      </c>
      <c r="H24" s="36"/>
      <c r="I24" s="36"/>
      <c r="J24" s="36"/>
      <c r="K24" s="37">
        <f>IF(F24="","",C24*L$7)</f>
        <v>0</v>
      </c>
      <c r="L24" s="37"/>
      <c r="M24" s="40">
        <f>IF(J24="","",(K24/J24)/1000)</f>
        <v>0</v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  <c r="V24" s="43" t="e">
        <f>IF(T24&gt;0,T24/J24,0)</f>
        <v>#DIV/0!</v>
      </c>
    </row>
    <row r="25" spans="2:22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36</v>
      </c>
      <c r="H25" s="36"/>
      <c r="I25" s="36"/>
      <c r="J25" s="36"/>
      <c r="K25" s="37">
        <f>IF(F25="","",C25*L$7)</f>
        <v>0</v>
      </c>
      <c r="L25" s="37"/>
      <c r="M25" s="40">
        <f>IF(J25="","",(K25/J25)/1000)</f>
        <v>0</v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  <c r="V25" s="43" t="e">
        <f>IF(T25&gt;0,T25/J25,0)</f>
        <v>#DIV/0!</v>
      </c>
    </row>
    <row r="26" spans="2:22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36</v>
      </c>
      <c r="H26" s="36"/>
      <c r="I26" s="36"/>
      <c r="J26" s="36"/>
      <c r="K26" s="37">
        <f>IF(F26="","",C26*L$7)</f>
        <v>0</v>
      </c>
      <c r="L26" s="37"/>
      <c r="M26" s="40">
        <f>IF(J26="","",(K26/J26)/1000)</f>
        <v>0</v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  <c r="V26" s="43" t="e">
        <f>IF(T26&gt;0,T26/J26,0)</f>
        <v>#DIV/0!</v>
      </c>
    </row>
    <row r="27" spans="2:22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36</v>
      </c>
      <c r="H27" s="36"/>
      <c r="I27" s="36"/>
      <c r="J27" s="36"/>
      <c r="K27" s="37">
        <f>IF(F27="","",C27*L$7)</f>
        <v>0</v>
      </c>
      <c r="L27" s="37"/>
      <c r="M27" s="40">
        <f>IF(J27="","",(K27/J27)/1000)</f>
        <v>0</v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  <c r="V27" s="43" t="e">
        <f>IF(T27&gt;0,T27/J27,0)</f>
        <v>#DIV/0!</v>
      </c>
    </row>
    <row r="28" spans="2:22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36</v>
      </c>
      <c r="H28" s="36"/>
      <c r="I28" s="36"/>
      <c r="J28" s="36"/>
      <c r="K28" s="37">
        <f>IF(F28="","",C28*L$7)</f>
        <v>0</v>
      </c>
      <c r="L28" s="37"/>
      <c r="M28" s="40">
        <f>IF(J28="","",(K28/J28)/1000)</f>
        <v>0</v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  <c r="V28" s="43" t="e">
        <f>IF(T28&gt;0,T28/J28,0)</f>
        <v>#DIV/0!</v>
      </c>
    </row>
    <row r="29" spans="2:22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36</v>
      </c>
      <c r="H29" s="36"/>
      <c r="I29" s="36"/>
      <c r="J29" s="36"/>
      <c r="K29" s="37">
        <f>IF(F29="","",C29*L$7)</f>
        <v>0</v>
      </c>
      <c r="L29" s="37"/>
      <c r="M29" s="40">
        <f>IF(J29="","",(K29/J29)/1000)</f>
        <v>0</v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  <c r="V29" s="43" t="e">
        <f>IF(T29&gt;0,T29/J29,0)</f>
        <v>#DIV/0!</v>
      </c>
    </row>
    <row r="30" spans="2:22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36</v>
      </c>
      <c r="H30" s="36"/>
      <c r="I30" s="36"/>
      <c r="J30" s="36"/>
      <c r="K30" s="37">
        <f>IF(F30="","",C30*L$7)</f>
        <v>0</v>
      </c>
      <c r="L30" s="37"/>
      <c r="M30" s="40">
        <f>IF(J30="","",(K30/J30)/1000)</f>
        <v>0</v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  <c r="V30" s="43" t="e">
        <f>IF(T30&gt;0,T30/J30,0)</f>
        <v>#DIV/0!</v>
      </c>
    </row>
    <row r="31" spans="2:22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36</v>
      </c>
      <c r="H31" s="36"/>
      <c r="I31" s="36"/>
      <c r="J31" s="36"/>
      <c r="K31" s="37">
        <f>IF(F31="","",C31*L$7)</f>
        <v>0</v>
      </c>
      <c r="L31" s="37"/>
      <c r="M31" s="40">
        <f>IF(J31="","",(K31/J31)/1000)</f>
        <v>0</v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  <c r="V31" s="43" t="e">
        <f>IF(T31&gt;0,T31/J31,0)</f>
        <v>#DIV/0!</v>
      </c>
    </row>
    <row r="32" spans="2:22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36</v>
      </c>
      <c r="H32" s="36"/>
      <c r="I32" s="36"/>
      <c r="J32" s="36"/>
      <c r="K32" s="37">
        <f>IF(F32="","",C32*L$7)</f>
        <v>0</v>
      </c>
      <c r="L32" s="37"/>
      <c r="M32" s="40">
        <f>IF(J32="","",(K32/J32)/1000)</f>
        <v>0</v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  <c r="V32" s="43" t="e">
        <f>IF(T32&gt;0,T32/J32,0)</f>
        <v>#DIV/0!</v>
      </c>
    </row>
    <row r="33" spans="2:22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36</v>
      </c>
      <c r="H33" s="36"/>
      <c r="I33" s="36"/>
      <c r="J33" s="36"/>
      <c r="K33" s="37">
        <f>IF(F33="","",C33*L$7)</f>
        <v>0</v>
      </c>
      <c r="L33" s="37"/>
      <c r="M33" s="40">
        <f>IF(J33="","",(K33/J33)/1000)</f>
        <v>0</v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  <c r="V33" s="43" t="e">
        <f>IF(T33&gt;0,T33/J33,0)</f>
        <v>#DIV/0!</v>
      </c>
    </row>
    <row r="34" spans="2:22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36</v>
      </c>
      <c r="H34" s="36"/>
      <c r="I34" s="36"/>
      <c r="J34" s="36"/>
      <c r="K34" s="37">
        <f>IF(F34="","",C34*L$7)</f>
        <v>0</v>
      </c>
      <c r="L34" s="37"/>
      <c r="M34" s="40">
        <f>IF(J34="","",(K34/J34)/1000)</f>
        <v>0</v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  <c r="V34" s="43" t="e">
        <f>IF(T34&gt;0,T34/J34,0)</f>
        <v>#DIV/0!</v>
      </c>
    </row>
    <row r="35" spans="2:22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36</v>
      </c>
      <c r="H35" s="36"/>
      <c r="I35" s="36"/>
      <c r="J35" s="36"/>
      <c r="K35" s="37">
        <f>IF(F35="","",C35*L$7)</f>
        <v>0</v>
      </c>
      <c r="L35" s="37"/>
      <c r="M35" s="40">
        <f>IF(J35="","",(K35/J35)/1000)</f>
        <v>0</v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  <c r="V35" s="43" t="e">
        <f>IF(T35&gt;0,T35/J35,0)</f>
        <v>#DIV/0!</v>
      </c>
    </row>
    <row r="36" spans="2:22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36</v>
      </c>
      <c r="H36" s="36"/>
      <c r="I36" s="36"/>
      <c r="J36" s="36"/>
      <c r="K36" s="37">
        <f>IF(F36="","",C36*L$7)</f>
        <v>0</v>
      </c>
      <c r="L36" s="37"/>
      <c r="M36" s="40">
        <f>IF(J36="","",(K36/J36)/1000)</f>
        <v>0</v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  <c r="V36" s="43" t="e">
        <f>IF(T36&gt;0,T36/J36,0)</f>
        <v>#DIV/0!</v>
      </c>
    </row>
    <row r="37" spans="2:22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36</v>
      </c>
      <c r="H37" s="36"/>
      <c r="I37" s="36"/>
      <c r="J37" s="36"/>
      <c r="K37" s="37">
        <f>IF(F37="","",C37*L$7)</f>
        <v>0</v>
      </c>
      <c r="L37" s="37"/>
      <c r="M37" s="40">
        <f>IF(J37="","",(K37/J37)/1000)</f>
        <v>0</v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  <c r="V37" s="43" t="e">
        <f>IF(T37&gt;0,T37/J37,0)</f>
        <v>#DIV/0!</v>
      </c>
    </row>
    <row r="38" spans="2:22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36</v>
      </c>
      <c r="H38" s="36"/>
      <c r="I38" s="36"/>
      <c r="J38" s="36"/>
      <c r="K38" s="37">
        <f>IF(F38="","",C38*L$7)</f>
        <v>0</v>
      </c>
      <c r="L38" s="37"/>
      <c r="M38" s="40">
        <f>IF(J38="","",(K38/J38)/1000)</f>
        <v>0</v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  <c r="V38" s="43" t="e">
        <f>IF(T38&gt;0,T38/J38,0)</f>
        <v>#DIV/0!</v>
      </c>
    </row>
    <row r="39" spans="2:22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36</v>
      </c>
      <c r="H39" s="36"/>
      <c r="I39" s="36"/>
      <c r="J39" s="36"/>
      <c r="K39" s="37">
        <f>IF(F39="","",C39*L$7)</f>
        <v>0</v>
      </c>
      <c r="L39" s="37"/>
      <c r="M39" s="40">
        <f>IF(J39="","",(K39/J39)/1000)</f>
        <v>0</v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  <c r="V39" s="43" t="e">
        <f>IF(T39&gt;0,T39/J39,0)</f>
        <v>#DIV/0!</v>
      </c>
    </row>
    <row r="40" spans="2:22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36</v>
      </c>
      <c r="H40" s="36"/>
      <c r="I40" s="36"/>
      <c r="J40" s="36"/>
      <c r="K40" s="37">
        <f>IF(F40="","",C40*L$7)</f>
        <v>0</v>
      </c>
      <c r="L40" s="37"/>
      <c r="M40" s="40">
        <f>IF(J40="","",(K40/J40)/1000)</f>
        <v>0</v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  <c r="V40" s="43" t="e">
        <f>IF(T40&gt;0,T40/J40,0)</f>
        <v>#DIV/0!</v>
      </c>
    </row>
    <row r="41" spans="2:22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36</v>
      </c>
      <c r="H41" s="36"/>
      <c r="I41" s="36"/>
      <c r="J41" s="36"/>
      <c r="K41" s="37">
        <f>IF(F41="","",C41*L$7)</f>
        <v>0</v>
      </c>
      <c r="L41" s="37"/>
      <c r="M41" s="40">
        <f>IF(J41="","",(K41/J41)/1000)</f>
        <v>0</v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  <c r="V41" s="43" t="e">
        <f>IF(T41&gt;0,T41/J41,0)</f>
        <v>#DIV/0!</v>
      </c>
    </row>
    <row r="42" spans="2:22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36</v>
      </c>
      <c r="H42" s="36"/>
      <c r="I42" s="36"/>
      <c r="J42" s="36"/>
      <c r="K42" s="37">
        <f>IF(F42="","",C42*L$7)</f>
        <v>0</v>
      </c>
      <c r="L42" s="37"/>
      <c r="M42" s="40">
        <f>IF(J42="","",(K42/J42)/1000)</f>
        <v>0</v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  <c r="V42" s="43" t="e">
        <f>IF(T42&gt;0,T42/J42,0)</f>
        <v>#DIV/0!</v>
      </c>
    </row>
    <row r="43" spans="2:22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36</v>
      </c>
      <c r="H43" s="36"/>
      <c r="I43" s="36"/>
      <c r="J43" s="36"/>
      <c r="K43" s="37">
        <f>IF(F43="","",C43*L$7)</f>
        <v>0</v>
      </c>
      <c r="L43" s="37"/>
      <c r="M43" s="40">
        <f>IF(J43="","",(K43/J43)/1000)</f>
        <v>0</v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  <c r="V43" s="43" t="e">
        <f>IF(T43&gt;0,T43/J43,0)</f>
        <v>#DIV/0!</v>
      </c>
    </row>
    <row r="44" spans="2:22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36</v>
      </c>
      <c r="H44" s="36"/>
      <c r="I44" s="36"/>
      <c r="J44" s="36"/>
      <c r="K44" s="37">
        <f>IF(F44="","",C44*L$7)</f>
        <v>0</v>
      </c>
      <c r="L44" s="37"/>
      <c r="M44" s="40">
        <f>IF(J44="","",(K44/J44)/1000)</f>
        <v>0</v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  <c r="V44" s="43" t="e">
        <f>IF(T44&gt;0,T44/J44,0)</f>
        <v>#DIV/0!</v>
      </c>
    </row>
    <row r="45" spans="2:22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36</v>
      </c>
      <c r="H45" s="36"/>
      <c r="I45" s="36"/>
      <c r="J45" s="36"/>
      <c r="K45" s="37">
        <f>IF(F45="","",C45*L$7)</f>
        <v>0</v>
      </c>
      <c r="L45" s="37"/>
      <c r="M45" s="40">
        <f>IF(J45="","",(K45/J45)/1000)</f>
        <v>0</v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  <c r="V45" s="43" t="e">
        <f>IF(T45&gt;0,T45/J45,0)</f>
        <v>#DIV/0!</v>
      </c>
    </row>
    <row r="46" spans="2:22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36</v>
      </c>
      <c r="H46" s="36"/>
      <c r="I46" s="36"/>
      <c r="J46" s="36"/>
      <c r="K46" s="37">
        <f>IF(F46="","",C46*L$7)</f>
        <v>0</v>
      </c>
      <c r="L46" s="37"/>
      <c r="M46" s="40">
        <f>IF(J46="","",(K46/J46)/1000)</f>
        <v>0</v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  <c r="V46" s="43" t="e">
        <f>IF(T46&gt;0,T46/J46,0)</f>
        <v>#DIV/0!</v>
      </c>
    </row>
    <row r="47" spans="2:22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36</v>
      </c>
      <c r="H47" s="36"/>
      <c r="I47" s="36"/>
      <c r="J47" s="36"/>
      <c r="K47" s="37">
        <f>IF(F47="","",C47*L$7)</f>
        <v>0</v>
      </c>
      <c r="L47" s="37"/>
      <c r="M47" s="40">
        <f>IF(J47="","",(K47/J47)/1000)</f>
        <v>0</v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  <c r="V47" s="43" t="e">
        <f>IF(T47&gt;0,T47/J47,0)</f>
        <v>#DIV/0!</v>
      </c>
    </row>
    <row r="48" spans="2:22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36</v>
      </c>
      <c r="H48" s="36"/>
      <c r="I48" s="36"/>
      <c r="J48" s="36"/>
      <c r="K48" s="37">
        <f>IF(F48="","",C48*L$7)</f>
        <v>0</v>
      </c>
      <c r="L48" s="37"/>
      <c r="M48" s="40">
        <f>IF(J48="","",(K48/J48)/1000)</f>
        <v>0</v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  <c r="V48" s="43" t="e">
        <f>IF(T48&gt;0,T48/J48,0)</f>
        <v>#DIV/0!</v>
      </c>
    </row>
    <row r="49" spans="2:22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36</v>
      </c>
      <c r="H49" s="36"/>
      <c r="I49" s="36"/>
      <c r="J49" s="36"/>
      <c r="K49" s="37">
        <f>IF(F49="","",C49*L$7)</f>
        <v>0</v>
      </c>
      <c r="L49" s="37"/>
      <c r="M49" s="40">
        <f>IF(J49="","",(K49/J49)/1000)</f>
        <v>0</v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  <c r="V49" s="43" t="e">
        <f>IF(T49&gt;0,T49/J49,0)</f>
        <v>#DIV/0!</v>
      </c>
    </row>
    <row r="50" spans="2:22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36</v>
      </c>
      <c r="H50" s="36"/>
      <c r="I50" s="36"/>
      <c r="J50" s="36"/>
      <c r="K50" s="37">
        <f>IF(F50="","",C50*L$7)</f>
        <v>0</v>
      </c>
      <c r="L50" s="37"/>
      <c r="M50" s="40">
        <f>IF(J50="","",(K50/J50)/1000)</f>
        <v>0</v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  <c r="V50" s="43" t="e">
        <f>IF(T50&gt;0,T50/J50,0)</f>
        <v>#DIV/0!</v>
      </c>
    </row>
    <row r="51" spans="2:22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36</v>
      </c>
      <c r="H51" s="36"/>
      <c r="I51" s="36"/>
      <c r="J51" s="36"/>
      <c r="K51" s="37">
        <f>IF(F51="","",C51*L$7)</f>
        <v>0</v>
      </c>
      <c r="L51" s="37"/>
      <c r="M51" s="40">
        <f>IF(J51="","",(K51/J51)/1000)</f>
        <v>0</v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  <c r="V51" s="43" t="e">
        <f>IF(T51&gt;0,T51/J51,0)</f>
        <v>#DIV/0!</v>
      </c>
    </row>
    <row r="52" spans="2:22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36</v>
      </c>
      <c r="H52" s="36"/>
      <c r="I52" s="36"/>
      <c r="J52" s="36"/>
      <c r="K52" s="37">
        <f>IF(F52="","",C52*L$7)</f>
        <v>0</v>
      </c>
      <c r="L52" s="37"/>
      <c r="M52" s="40">
        <f>IF(J52="","",(K52/J52)/1000)</f>
        <v>0</v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  <c r="V52" s="43" t="e">
        <f>IF(T52&gt;0,T52/J52,0)</f>
        <v>#DIV/0!</v>
      </c>
    </row>
    <row r="53" spans="2:22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36</v>
      </c>
      <c r="H53" s="36"/>
      <c r="I53" s="36"/>
      <c r="J53" s="36"/>
      <c r="K53" s="37">
        <f>IF(F53="","",C53*L$7)</f>
        <v>0</v>
      </c>
      <c r="L53" s="37"/>
      <c r="M53" s="40">
        <f>IF(J53="","",(K53/J53)/1000)</f>
        <v>0</v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  <c r="V53" s="43" t="e">
        <f>IF(T53&gt;0,T53/J53,0)</f>
        <v>#DIV/0!</v>
      </c>
    </row>
    <row r="54" spans="2:22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36</v>
      </c>
      <c r="H54" s="36"/>
      <c r="I54" s="36"/>
      <c r="J54" s="36"/>
      <c r="K54" s="37">
        <f>IF(F54="","",C54*L$7)</f>
        <v>0</v>
      </c>
      <c r="L54" s="37"/>
      <c r="M54" s="40">
        <f>IF(J54="","",(K54/J54)/1000)</f>
        <v>0</v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  <c r="V54" s="43" t="e">
        <f>IF(T54&gt;0,T54/J54,0)</f>
        <v>#DIV/0!</v>
      </c>
    </row>
    <row r="55" spans="2:22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36</v>
      </c>
      <c r="H55" s="36"/>
      <c r="I55" s="36"/>
      <c r="J55" s="36"/>
      <c r="K55" s="37">
        <f>IF(F55="","",C55*L$7)</f>
        <v>0</v>
      </c>
      <c r="L55" s="37"/>
      <c r="M55" s="40">
        <f>IF(J55="","",(K55/J55)/1000)</f>
        <v>0</v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  <c r="V55" s="43" t="e">
        <f>IF(T55&gt;0,T55/J55,0)</f>
        <v>#DIV/0!</v>
      </c>
    </row>
    <row r="56" spans="2:22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36</v>
      </c>
      <c r="H56" s="36"/>
      <c r="I56" s="36"/>
      <c r="J56" s="36"/>
      <c r="K56" s="37">
        <f>IF(F56="","",C56*L$7)</f>
        <v>0</v>
      </c>
      <c r="L56" s="37"/>
      <c r="M56" s="40">
        <f>IF(J56="","",(K56/J56)/1000)</f>
        <v>0</v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  <c r="V56" s="43" t="e">
        <f>IF(T56&gt;0,T56/J56,0)</f>
        <v>#DIV/0!</v>
      </c>
    </row>
    <row r="57" spans="2:22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36</v>
      </c>
      <c r="H57" s="36"/>
      <c r="I57" s="36"/>
      <c r="J57" s="36"/>
      <c r="K57" s="37">
        <f>IF(F57="","",C57*L$7)</f>
        <v>0</v>
      </c>
      <c r="L57" s="37"/>
      <c r="M57" s="40">
        <f>IF(J57="","",(K57/J57)/1000)</f>
        <v>0</v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  <c r="V57" s="43" t="e">
        <f>IF(T57&gt;0,T57/J57,0)</f>
        <v>#DIV/0!</v>
      </c>
    </row>
    <row r="58" spans="2:22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36</v>
      </c>
      <c r="H58" s="36"/>
      <c r="I58" s="36"/>
      <c r="J58" s="36"/>
      <c r="K58" s="37">
        <f>IF(F58="","",C58*L$7)</f>
        <v>0</v>
      </c>
      <c r="L58" s="37"/>
      <c r="M58" s="40">
        <f>IF(J58="","",(K58/J58)/1000)</f>
        <v>0</v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  <c r="V58" s="43" t="e">
        <f>IF(T58&gt;0,T58/J58,0)</f>
        <v>#DIV/0!</v>
      </c>
    </row>
    <row r="59" spans="2:22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36</v>
      </c>
      <c r="H59" s="36"/>
      <c r="I59" s="36"/>
      <c r="J59" s="36"/>
      <c r="K59" s="37">
        <f>IF(F59="","",C59*L$7)</f>
        <v>0</v>
      </c>
      <c r="L59" s="37"/>
      <c r="M59" s="40">
        <f>IF(J59="","",(K59/J59)/1000)</f>
        <v>0</v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36</v>
      </c>
      <c r="H60" s="36"/>
      <c r="I60" s="36"/>
      <c r="J60" s="36"/>
      <c r="K60" s="37">
        <f>IF(F60="","",C60*L$7)</f>
        <v>0</v>
      </c>
      <c r="L60" s="37"/>
      <c r="M60" s="40">
        <f>IF(J60="","",(K60/J60)/1000)</f>
        <v>0</v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36</v>
      </c>
      <c r="H61" s="36"/>
      <c r="I61" s="36"/>
      <c r="J61" s="36"/>
      <c r="K61" s="37">
        <f>IF(F61="","",C61*L$7)</f>
        <v>0</v>
      </c>
      <c r="L61" s="37"/>
      <c r="M61" s="40">
        <f>IF(J61="","",(K61/J61)/1000)</f>
        <v>0</v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36</v>
      </c>
      <c r="H62" s="36"/>
      <c r="I62" s="36"/>
      <c r="J62" s="36"/>
      <c r="K62" s="37">
        <f>IF(F62="","",C62*L$7)</f>
        <v>0</v>
      </c>
      <c r="L62" s="37"/>
      <c r="M62" s="40">
        <f>IF(J62="","",(K62/J62)/1000)</f>
        <v>0</v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36</v>
      </c>
      <c r="H63" s="36"/>
      <c r="I63" s="36"/>
      <c r="J63" s="36"/>
      <c r="K63" s="37">
        <f>IF(F63="","",C63*L$7)</f>
        <v>0</v>
      </c>
      <c r="L63" s="37"/>
      <c r="M63" s="40">
        <f>IF(J63="","",(K63/J63)/1000)</f>
        <v>0</v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36</v>
      </c>
      <c r="H64" s="36"/>
      <c r="I64" s="36"/>
      <c r="J64" s="36"/>
      <c r="K64" s="37">
        <f>IF(F64="","",C64*L$7)</f>
        <v>0</v>
      </c>
      <c r="L64" s="37"/>
      <c r="M64" s="40">
        <f>IF(J64="","",(K64/J64)/1000)</f>
        <v>0</v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36</v>
      </c>
      <c r="H65" s="36"/>
      <c r="I65" s="36"/>
      <c r="J65" s="36"/>
      <c r="K65" s="37">
        <f>IF(F65="","",C65*L$7)</f>
        <v>0</v>
      </c>
      <c r="L65" s="37"/>
      <c r="M65" s="40">
        <f>IF(J65="","",(K65/J65)/1000)</f>
        <v>0</v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36</v>
      </c>
      <c r="H66" s="36"/>
      <c r="I66" s="36"/>
      <c r="J66" s="36"/>
      <c r="K66" s="37">
        <f>IF(F66="","",C66*L$7)</f>
        <v>0</v>
      </c>
      <c r="L66" s="37"/>
      <c r="M66" s="40">
        <f>IF(J66="","",(K66/J66)/1000)</f>
        <v>0</v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36</v>
      </c>
      <c r="H67" s="36"/>
      <c r="I67" s="36"/>
      <c r="J67" s="36"/>
      <c r="K67" s="37">
        <f>IF(F67="","",C67*L$7)</f>
        <v>0</v>
      </c>
      <c r="L67" s="37"/>
      <c r="M67" s="40">
        <f>IF(J67="","",(K67/J67)/1000)</f>
        <v>0</v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36</v>
      </c>
      <c r="H68" s="36"/>
      <c r="I68" s="36"/>
      <c r="J68" s="36"/>
      <c r="K68" s="37">
        <f>IF(F68="","",C68*L$7)</f>
        <v>0</v>
      </c>
      <c r="L68" s="37"/>
      <c r="M68" s="40">
        <f>IF(J68="","",(K68/J68)/1000)</f>
        <v>0</v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36</v>
      </c>
      <c r="H69" s="36"/>
      <c r="I69" s="36"/>
      <c r="J69" s="36"/>
      <c r="K69" s="37">
        <f>IF(F69="","",C69*L$7)</f>
        <v>0</v>
      </c>
      <c r="L69" s="37"/>
      <c r="M69" s="40">
        <f>IF(J69="","",(K69/J69)/1000)</f>
        <v>0</v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36</v>
      </c>
      <c r="H70" s="36"/>
      <c r="I70" s="36"/>
      <c r="J70" s="36"/>
      <c r="K70" s="37">
        <f>IF(F70="","",C70*L$7)</f>
        <v>0</v>
      </c>
      <c r="L70" s="37"/>
      <c r="M70" s="40">
        <f>IF(J70="","",(K70/J70)/1000)</f>
        <v>0</v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36</v>
      </c>
      <c r="H71" s="36"/>
      <c r="I71" s="36"/>
      <c r="J71" s="36"/>
      <c r="K71" s="37">
        <f>IF(F71="","",C71*L$7)</f>
        <v>0</v>
      </c>
      <c r="L71" s="37"/>
      <c r="M71" s="40">
        <f>IF(J71="","",(K71/J71)/1000)</f>
        <v>0</v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36</v>
      </c>
      <c r="H72" s="36"/>
      <c r="I72" s="36"/>
      <c r="J72" s="36"/>
      <c r="K72" s="37">
        <f>IF(F72="","",C72*L$7)</f>
        <v>0</v>
      </c>
      <c r="L72" s="37"/>
      <c r="M72" s="40">
        <f>IF(J72="","",(K72/J72)/1000)</f>
        <v>0</v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36</v>
      </c>
      <c r="H73" s="36"/>
      <c r="I73" s="36"/>
      <c r="J73" s="36"/>
      <c r="K73" s="37">
        <f>IF(F73="","",C73*L$7)</f>
        <v>0</v>
      </c>
      <c r="L73" s="37"/>
      <c r="M73" s="40">
        <f>IF(J73="","",(K73/J73)/1000)</f>
        <v>0</v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36</v>
      </c>
      <c r="H74" s="36"/>
      <c r="I74" s="36"/>
      <c r="J74" s="36"/>
      <c r="K74" s="37">
        <f>IF(F74="","",C74*L$7)</f>
        <v>0</v>
      </c>
      <c r="L74" s="37"/>
      <c r="M74" s="40">
        <f>IF(J74="","",(K74/J74)/1000)</f>
        <v>0</v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36</v>
      </c>
      <c r="H75" s="36"/>
      <c r="I75" s="36"/>
      <c r="J75" s="36"/>
      <c r="K75" s="37">
        <f>IF(F75="","",C75*L$7)</f>
        <v>0</v>
      </c>
      <c r="L75" s="37"/>
      <c r="M75" s="40">
        <f>IF(J75="","",(K75/J75)/1000)</f>
        <v>0</v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36</v>
      </c>
      <c r="H76" s="36"/>
      <c r="I76" s="36"/>
      <c r="J76" s="36"/>
      <c r="K76" s="37">
        <f>IF(F76="","",C76*L$7)</f>
        <v>0</v>
      </c>
      <c r="L76" s="37"/>
      <c r="M76" s="40">
        <f>IF(J76="","",(K76/J76)/1000)</f>
        <v>0</v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36</v>
      </c>
      <c r="H77" s="36"/>
      <c r="I77" s="36"/>
      <c r="J77" s="36"/>
      <c r="K77" s="37">
        <f>IF(F77="","",C77*L$7)</f>
        <v>0</v>
      </c>
      <c r="L77" s="37"/>
      <c r="M77" s="40">
        <f>IF(J77="","",(K77/J77)/1000)</f>
        <v>0</v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36</v>
      </c>
      <c r="H78" s="36"/>
      <c r="I78" s="36"/>
      <c r="J78" s="36"/>
      <c r="K78" s="37">
        <f>IF(F78="","",C78*L$7)</f>
        <v>0</v>
      </c>
      <c r="L78" s="37"/>
      <c r="M78" s="40">
        <f>IF(J78="","",(K78/J78)/1000)</f>
        <v>0</v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36</v>
      </c>
      <c r="H79" s="36"/>
      <c r="I79" s="36"/>
      <c r="J79" s="36"/>
      <c r="K79" s="37">
        <f>IF(F79="","",C79*L$7)</f>
        <v>0</v>
      </c>
      <c r="L79" s="37"/>
      <c r="M79" s="40">
        <f>IF(J79="","",(K79/J79)/1000)</f>
        <v>0</v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36</v>
      </c>
      <c r="H80" s="36"/>
      <c r="I80" s="36"/>
      <c r="J80" s="36"/>
      <c r="K80" s="37">
        <f>IF(F80="","",C80*L$7)</f>
        <v>0</v>
      </c>
      <c r="L80" s="37"/>
      <c r="M80" s="40">
        <f>IF(J80="","",(K80/J80)/1000)</f>
        <v>0</v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36</v>
      </c>
      <c r="H81" s="36"/>
      <c r="I81" s="36"/>
      <c r="J81" s="36"/>
      <c r="K81" s="37">
        <f>IF(F81="","",C81*L$7)</f>
        <v>0</v>
      </c>
      <c r="L81" s="37"/>
      <c r="M81" s="40">
        <f>IF(J81="","",(K81/J81)/1000)</f>
        <v>0</v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36</v>
      </c>
      <c r="H82" s="36"/>
      <c r="I82" s="36"/>
      <c r="J82" s="36"/>
      <c r="K82" s="37">
        <f>IF(F82="","",C82*L$7)</f>
        <v>0</v>
      </c>
      <c r="L82" s="37"/>
      <c r="M82" s="40">
        <f>IF(J82="","",(K82/J82)/1000)</f>
        <v>0</v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36</v>
      </c>
      <c r="H83" s="36"/>
      <c r="I83" s="36"/>
      <c r="J83" s="36"/>
      <c r="K83" s="37">
        <f>IF(F83="","",C83*L$7)</f>
        <v>0</v>
      </c>
      <c r="L83" s="37"/>
      <c r="M83" s="40">
        <f>IF(J83="","",(K83/J83)/1000)</f>
        <v>0</v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36</v>
      </c>
      <c r="H84" s="36"/>
      <c r="I84" s="36"/>
      <c r="J84" s="36"/>
      <c r="K84" s="37">
        <f>IF(F84="","",C84*L$7)</f>
        <v>0</v>
      </c>
      <c r="L84" s="37"/>
      <c r="M84" s="40">
        <f>IF(J84="","",(K84/J84)/1000)</f>
        <v>0</v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36</v>
      </c>
      <c r="H85" s="36"/>
      <c r="I85" s="36"/>
      <c r="J85" s="36"/>
      <c r="K85" s="37">
        <f>IF(F85="","",C85*L$7)</f>
        <v>0</v>
      </c>
      <c r="L85" s="37"/>
      <c r="M85" s="40">
        <f>IF(J85="","",(K85/J85)/1000)</f>
        <v>0</v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36</v>
      </c>
      <c r="H86" s="36"/>
      <c r="I86" s="36"/>
      <c r="J86" s="36"/>
      <c r="K86" s="37">
        <f>IF(F86="","",C86*L$7)</f>
        <v>0</v>
      </c>
      <c r="L86" s="37"/>
      <c r="M86" s="40">
        <f>IF(J86="","",(K86/J86)/1000)</f>
        <v>0</v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36</v>
      </c>
      <c r="H87" s="36"/>
      <c r="I87" s="36"/>
      <c r="J87" s="36"/>
      <c r="K87" s="37">
        <f>IF(F87="","",C87*L$7)</f>
        <v>0</v>
      </c>
      <c r="L87" s="37"/>
      <c r="M87" s="40">
        <f>IF(J87="","",(K87/J87)/1000)</f>
        <v>0</v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36</v>
      </c>
      <c r="H88" s="36"/>
      <c r="I88" s="36"/>
      <c r="J88" s="36"/>
      <c r="K88" s="37">
        <f>IF(F88="","",C88*L$7)</f>
        <v>0</v>
      </c>
      <c r="L88" s="37"/>
      <c r="M88" s="40">
        <f>IF(J88="","",(K88/J88)/1000)</f>
        <v>0</v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36</v>
      </c>
      <c r="H89" s="36"/>
      <c r="I89" s="36"/>
      <c r="J89" s="36"/>
      <c r="K89" s="37">
        <f>IF(F89="","",C89*L$7)</f>
        <v>0</v>
      </c>
      <c r="L89" s="37"/>
      <c r="M89" s="40">
        <f>IF(J89="","",(K89/J89)/1000)</f>
        <v>0</v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36</v>
      </c>
      <c r="H90" s="36"/>
      <c r="I90" s="36"/>
      <c r="J90" s="36"/>
      <c r="K90" s="37">
        <f>IF(F90="","",C90*L$7)</f>
        <v>0</v>
      </c>
      <c r="L90" s="37"/>
      <c r="M90" s="40">
        <f>IF(J90="","",(K90/J90)/1000)</f>
        <v>0</v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36</v>
      </c>
      <c r="H91" s="36"/>
      <c r="I91" s="36"/>
      <c r="J91" s="36"/>
      <c r="K91" s="37">
        <f>IF(F91="","",C91*L$7)</f>
        <v>0</v>
      </c>
      <c r="L91" s="37"/>
      <c r="M91" s="40">
        <f>IF(J91="","",(K91/J91)/1000)</f>
        <v>0</v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36</v>
      </c>
      <c r="H92" s="36"/>
      <c r="I92" s="36"/>
      <c r="J92" s="36"/>
      <c r="K92" s="37">
        <f>IF(F92="","",C92*L$7)</f>
        <v>0</v>
      </c>
      <c r="L92" s="37"/>
      <c r="M92" s="40">
        <f>IF(J92="","",(K92/J92)/1000)</f>
        <v>0</v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36</v>
      </c>
      <c r="H93" s="36"/>
      <c r="I93" s="36"/>
      <c r="J93" s="36"/>
      <c r="K93" s="37">
        <f>IF(F93="","",C93*L$7)</f>
        <v>0</v>
      </c>
      <c r="L93" s="37"/>
      <c r="M93" s="40">
        <f>IF(J93="","",(K93/J93)/1000)</f>
        <v>0</v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36</v>
      </c>
      <c r="H94" s="36"/>
      <c r="I94" s="36"/>
      <c r="J94" s="36"/>
      <c r="K94" s="37">
        <f>IF(F94="","",C94*L$7)</f>
        <v>0</v>
      </c>
      <c r="L94" s="37"/>
      <c r="M94" s="40">
        <f>IF(J94="","",(K94/J94)/1000)</f>
        <v>0</v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36</v>
      </c>
      <c r="H95" s="36"/>
      <c r="I95" s="36"/>
      <c r="J95" s="36"/>
      <c r="K95" s="37">
        <f>IF(F95="","",C95*L$7)</f>
        <v>0</v>
      </c>
      <c r="L95" s="37"/>
      <c r="M95" s="40">
        <f>IF(J95="","",(K95/J95)/1000)</f>
        <v>0</v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36</v>
      </c>
      <c r="H96" s="36"/>
      <c r="I96" s="36"/>
      <c r="J96" s="36"/>
      <c r="K96" s="37">
        <f>IF(F96="","",C96*L$7)</f>
        <v>0</v>
      </c>
      <c r="L96" s="37"/>
      <c r="M96" s="40">
        <f>IF(J96="","",(K96/J96)/1000)</f>
        <v>0</v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36</v>
      </c>
      <c r="H97" s="36"/>
      <c r="I97" s="36"/>
      <c r="J97" s="36"/>
      <c r="K97" s="37">
        <f>IF(F97="","",C97*L$7)</f>
        <v>0</v>
      </c>
      <c r="L97" s="37"/>
      <c r="M97" s="40">
        <f>IF(J97="","",(K97/J97)/1000)</f>
        <v>0</v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36</v>
      </c>
      <c r="H98" s="36"/>
      <c r="I98" s="36"/>
      <c r="J98" s="36"/>
      <c r="K98" s="37">
        <f>IF(F98="","",C98*L$7)</f>
        <v>0</v>
      </c>
      <c r="L98" s="37"/>
      <c r="M98" s="40">
        <f>IF(J98="","",(K98/J98)/1000)</f>
        <v>0</v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36</v>
      </c>
      <c r="H99" s="36"/>
      <c r="I99" s="36"/>
      <c r="J99" s="36"/>
      <c r="K99" s="37">
        <f>IF(F99="","",C99*L$7)</f>
        <v>0</v>
      </c>
      <c r="L99" s="37"/>
      <c r="M99" s="40">
        <f>IF(J99="","",(K99/J99)/1000)</f>
        <v>0</v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36</v>
      </c>
      <c r="H100" s="36"/>
      <c r="I100" s="36"/>
      <c r="J100" s="36"/>
      <c r="K100" s="37">
        <f>IF(F100="","",C100*L$7)</f>
        <v>0</v>
      </c>
      <c r="L100" s="37"/>
      <c r="M100" s="40">
        <f>IF(J100="","",(K100/J100)/1000)</f>
        <v>0</v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36</v>
      </c>
      <c r="H101" s="36"/>
      <c r="I101" s="36"/>
      <c r="J101" s="36"/>
      <c r="K101" s="37">
        <f>IF(F101="","",C101*L$7)</f>
        <v>0</v>
      </c>
      <c r="L101" s="37"/>
      <c r="M101" s="40">
        <f>IF(J101="","",(K101/J101)/1000)</f>
        <v>0</v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36</v>
      </c>
      <c r="H102" s="36"/>
      <c r="I102" s="36"/>
      <c r="J102" s="36"/>
      <c r="K102" s="37">
        <f>IF(F102="","",C102*L$7)</f>
        <v>0</v>
      </c>
      <c r="L102" s="37"/>
      <c r="M102" s="40">
        <f>IF(J102="","",(K102/J102)/1000)</f>
        <v>0</v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36</v>
      </c>
      <c r="H103" s="36"/>
      <c r="I103" s="36"/>
      <c r="J103" s="36"/>
      <c r="K103" s="37">
        <f>IF(F103="","",C103*L$7)</f>
        <v>0</v>
      </c>
      <c r="L103" s="37"/>
      <c r="M103" s="40">
        <f>IF(J103="","",(K103/J103)/1000)</f>
        <v>0</v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36</v>
      </c>
      <c r="H104" s="36"/>
      <c r="I104" s="36"/>
      <c r="J104" s="36"/>
      <c r="K104" s="37">
        <f>IF(F104="","",C104*L$7)</f>
        <v>0</v>
      </c>
      <c r="L104" s="37"/>
      <c r="M104" s="40">
        <f>IF(J104="","",(K104/J104)/1000)</f>
        <v>0</v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36</v>
      </c>
      <c r="H105" s="36"/>
      <c r="I105" s="36"/>
      <c r="J105" s="36"/>
      <c r="K105" s="37">
        <f>IF(F105="","",C105*L$7)</f>
        <v>0</v>
      </c>
      <c r="L105" s="37"/>
      <c r="M105" s="40">
        <f>IF(J105="","",(K105/J105)/1000)</f>
        <v>0</v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36</v>
      </c>
      <c r="H106" s="36"/>
      <c r="I106" s="36"/>
      <c r="J106" s="36"/>
      <c r="K106" s="37">
        <f>IF(F106="","",C106*L$7)</f>
        <v>0</v>
      </c>
      <c r="L106" s="37"/>
      <c r="M106" s="40">
        <f>IF(J106="","",(K106/J106)/1000)</f>
        <v>0</v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36</v>
      </c>
      <c r="H107" s="36"/>
      <c r="I107" s="36"/>
      <c r="J107" s="36"/>
      <c r="K107" s="37">
        <f>IF(F107="","",C107*L$7)</f>
        <v>0</v>
      </c>
      <c r="L107" s="37"/>
      <c r="M107" s="40">
        <f>IF(J107="","",(K107/J107)/1000)</f>
        <v>0</v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36</v>
      </c>
      <c r="H108" s="36"/>
      <c r="I108" s="36"/>
      <c r="J108" s="36"/>
      <c r="K108" s="37">
        <f>IF(F108="","",C108*L$7)</f>
        <v>0</v>
      </c>
      <c r="L108" s="37"/>
      <c r="M108" s="40">
        <f>IF(J108="","",(K108/J108)/1000)</f>
        <v>0</v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>
        <f>E108</f>
        <v>2005</v>
      </c>
      <c r="F109" s="38"/>
      <c r="G109" s="36" t="s">
        <v>36</v>
      </c>
      <c r="H109" s="36"/>
      <c r="I109" s="36"/>
      <c r="J109" s="36"/>
      <c r="K109" s="37">
        <f>IF(F109="","",C109*L$7)</f>
        <v>0</v>
      </c>
      <c r="L109" s="37"/>
      <c r="M109" s="40">
        <f>IF(J109="","",(K109/J109)/1000)</f>
        <v>0</v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2016-06-19T21:45:09Z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