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oshiko\Desktop\"/>
    </mc:Choice>
  </mc:AlternateContent>
  <bookViews>
    <workbookView xWindow="0" yWindow="0" windowWidth="20490" windowHeight="7770"/>
  </bookViews>
  <sheets>
    <sheet name="1609" sheetId="11" r:id="rId1"/>
    <sheet name="画像" sheetId="7" r:id="rId2"/>
    <sheet name="気づき" sheetId="9" r:id="rId3"/>
    <sheet name="ルール＆合計" sheetId="1" r:id="rId4"/>
  </sheets>
  <calcPr calcId="152511"/>
</workbook>
</file>

<file path=xl/calcChain.xml><?xml version="1.0" encoding="utf-8"?>
<calcChain xmlns="http://schemas.openxmlformats.org/spreadsheetml/2006/main">
  <c r="Z33" i="11" l="1"/>
  <c r="Z34" i="11"/>
  <c r="K37" i="11"/>
  <c r="K36" i="11" l="1"/>
  <c r="C35" i="11" l="1"/>
  <c r="Q50" i="11" l="1"/>
  <c r="M51" i="11"/>
  <c r="M50" i="11"/>
  <c r="M49" i="11"/>
  <c r="L51" i="11"/>
  <c r="L50" i="11"/>
  <c r="L49" i="11"/>
  <c r="G53" i="11"/>
  <c r="D53" i="11" s="1"/>
  <c r="H53" i="11"/>
  <c r="E53" i="11" s="1"/>
  <c r="G52" i="11"/>
  <c r="D52" i="11" s="1"/>
  <c r="H52" i="11"/>
  <c r="E52" i="11" s="1"/>
  <c r="G62" i="11"/>
  <c r="D62" i="11" s="1"/>
  <c r="H62" i="11"/>
  <c r="E62" i="11" s="1"/>
  <c r="G61" i="11"/>
  <c r="D61" i="11" s="1"/>
  <c r="H61" i="11"/>
  <c r="E61" i="11" s="1"/>
  <c r="G51" i="11"/>
  <c r="D51" i="11" s="1"/>
  <c r="H51" i="11"/>
  <c r="E51" i="11" s="1"/>
  <c r="N51" i="11" l="1"/>
  <c r="F52" i="11"/>
  <c r="F53" i="11"/>
  <c r="F62" i="11"/>
  <c r="F51" i="11"/>
  <c r="F61" i="11"/>
  <c r="X37" i="11"/>
  <c r="W37" i="11"/>
  <c r="X36" i="11"/>
  <c r="Q49" i="11" s="1"/>
  <c r="W36" i="11"/>
  <c r="X35" i="11"/>
  <c r="W35" i="11"/>
  <c r="K35" i="11"/>
  <c r="X34" i="11"/>
  <c r="W34" i="11"/>
  <c r="K34" i="11"/>
  <c r="X33" i="11"/>
  <c r="W33" i="11"/>
  <c r="K33" i="11"/>
  <c r="K32" i="11"/>
  <c r="K38" i="11"/>
  <c r="W38" i="11"/>
  <c r="X38" i="11"/>
  <c r="K39" i="11"/>
  <c r="W39" i="11"/>
  <c r="X39" i="11"/>
  <c r="K40" i="11"/>
  <c r="W40" i="11"/>
  <c r="X40" i="11"/>
  <c r="K41" i="11"/>
  <c r="W41" i="11"/>
  <c r="X41" i="11"/>
  <c r="K42" i="11"/>
  <c r="W42" i="11"/>
  <c r="X42" i="11"/>
  <c r="K43" i="11"/>
  <c r="W43" i="11"/>
  <c r="X43" i="11"/>
  <c r="W28" i="11"/>
  <c r="K28" i="11"/>
  <c r="W26" i="11"/>
  <c r="Q51" i="11" l="1"/>
  <c r="O51" i="11"/>
  <c r="G59" i="11"/>
  <c r="D59" i="11" s="1"/>
  <c r="H59" i="11"/>
  <c r="E59" i="11" s="1"/>
  <c r="G55" i="11"/>
  <c r="D55" i="11" s="1"/>
  <c r="H55" i="11"/>
  <c r="E55" i="11" s="1"/>
  <c r="H50" i="11"/>
  <c r="E50" i="11" s="1"/>
  <c r="G50" i="11"/>
  <c r="D50" i="11" s="1"/>
  <c r="G54" i="11"/>
  <c r="D54" i="11" s="1"/>
  <c r="G56" i="11"/>
  <c r="D56" i="11" s="1"/>
  <c r="G57" i="11"/>
  <c r="D57" i="11" s="1"/>
  <c r="G58" i="11"/>
  <c r="D58" i="11" s="1"/>
  <c r="G60" i="11"/>
  <c r="D60" i="11" s="1"/>
  <c r="G63" i="11"/>
  <c r="D63" i="11" s="1"/>
  <c r="G64" i="11"/>
  <c r="D64" i="11" s="1"/>
  <c r="G65" i="11"/>
  <c r="G66" i="11"/>
  <c r="D66" i="11" s="1"/>
  <c r="G67" i="11"/>
  <c r="D67" i="11" s="1"/>
  <c r="G68" i="11"/>
  <c r="D68" i="11" s="1"/>
  <c r="H54" i="11"/>
  <c r="E54" i="11" s="1"/>
  <c r="H56" i="11"/>
  <c r="E56" i="11" s="1"/>
  <c r="H57" i="11"/>
  <c r="E57" i="11" s="1"/>
  <c r="H58" i="11"/>
  <c r="E58" i="11" s="1"/>
  <c r="H60" i="11"/>
  <c r="E60" i="11" s="1"/>
  <c r="H63" i="11"/>
  <c r="E63" i="11" s="1"/>
  <c r="H64" i="11"/>
  <c r="E64" i="11" s="1"/>
  <c r="H65" i="11"/>
  <c r="E65" i="11" s="1"/>
  <c r="H66" i="11"/>
  <c r="E66" i="11" s="1"/>
  <c r="H67" i="11"/>
  <c r="E67" i="11" s="1"/>
  <c r="H68" i="11"/>
  <c r="E68" i="11" s="1"/>
  <c r="W27" i="11"/>
  <c r="F50" i="11" l="1"/>
  <c r="F59" i="11"/>
  <c r="F67" i="11"/>
  <c r="F63" i="11"/>
  <c r="F56" i="11"/>
  <c r="F66" i="11"/>
  <c r="F55" i="11"/>
  <c r="F60" i="11"/>
  <c r="F54" i="11"/>
  <c r="F68" i="11"/>
  <c r="F57" i="11"/>
  <c r="F58" i="11"/>
  <c r="F64" i="11"/>
  <c r="D65" i="11"/>
  <c r="F65" i="11" s="1"/>
  <c r="G69" i="11"/>
  <c r="H69" i="11"/>
  <c r="E69" i="11"/>
  <c r="K26" i="11"/>
  <c r="F69" i="11" l="1"/>
  <c r="D69" i="11"/>
  <c r="K22" i="11"/>
  <c r="D8" i="11" l="1"/>
  <c r="X26" i="11"/>
  <c r="X27" i="11"/>
  <c r="X28" i="11"/>
  <c r="X29" i="11"/>
  <c r="X30" i="11"/>
  <c r="X31" i="11"/>
  <c r="X44" i="11"/>
  <c r="W29" i="11"/>
  <c r="W30" i="11"/>
  <c r="W31" i="11"/>
  <c r="W44" i="11"/>
  <c r="K21" i="11"/>
  <c r="K23" i="11"/>
  <c r="K24" i="11"/>
  <c r="K25" i="11"/>
  <c r="K27" i="11"/>
  <c r="K29" i="11"/>
  <c r="K30" i="11"/>
  <c r="K31" i="11"/>
  <c r="K44" i="11"/>
  <c r="C15" i="11" l="1"/>
  <c r="I3" i="11" l="1"/>
  <c r="F5" i="11"/>
  <c r="X19" i="11" l="1"/>
  <c r="W17" i="11"/>
  <c r="F4" i="11"/>
  <c r="F3" i="11"/>
  <c r="X18" i="11"/>
  <c r="X16" i="11"/>
  <c r="X15" i="11"/>
  <c r="X14" i="11"/>
  <c r="X17" i="11"/>
  <c r="X13" i="11"/>
  <c r="W13" i="11"/>
  <c r="D7" i="11"/>
  <c r="D6" i="11"/>
  <c r="D5" i="11"/>
  <c r="D4" i="11"/>
  <c r="Q57" i="11" l="1"/>
  <c r="F6" i="11"/>
  <c r="K17" i="11"/>
  <c r="C18" i="11" l="1"/>
  <c r="C19" i="11" s="1"/>
  <c r="C20" i="11" s="1"/>
  <c r="C21" i="11" s="1"/>
  <c r="C22" i="11" s="1"/>
  <c r="C23" i="11" s="1"/>
  <c r="C24" i="11" s="1"/>
  <c r="C25" i="11" s="1"/>
  <c r="C17" i="11"/>
  <c r="C16" i="11"/>
  <c r="W18" i="11"/>
  <c r="W16" i="11"/>
  <c r="W15" i="11"/>
  <c r="K18" i="11"/>
  <c r="K16" i="11"/>
  <c r="K15" i="11"/>
  <c r="M57" i="11"/>
  <c r="L57" i="11"/>
  <c r="N50" i="11"/>
  <c r="O50" i="11" s="1"/>
  <c r="N49" i="11"/>
  <c r="O49" i="11" s="1"/>
  <c r="K19" i="11"/>
  <c r="W19" i="11"/>
  <c r="K20" i="11"/>
  <c r="I4" i="11"/>
  <c r="I5" i="11" s="1"/>
  <c r="W14" i="11"/>
  <c r="K14" i="11"/>
  <c r="K13" i="11"/>
  <c r="L13" i="11"/>
  <c r="N13" i="11" s="1"/>
  <c r="D2" i="11"/>
  <c r="G3" i="1"/>
  <c r="D8" i="1"/>
  <c r="G8" i="1"/>
  <c r="H8" i="1"/>
  <c r="H17" i="1"/>
  <c r="I8" i="1"/>
  <c r="K8" i="1"/>
  <c r="K17" i="1"/>
  <c r="J8" i="1"/>
  <c r="L8" i="1"/>
  <c r="L17" i="1"/>
  <c r="D9" i="1"/>
  <c r="G9" i="1"/>
  <c r="H9" i="1"/>
  <c r="I9" i="1"/>
  <c r="K9" i="1"/>
  <c r="J9" i="1"/>
  <c r="L9" i="1"/>
  <c r="D10" i="1"/>
  <c r="D17" i="1"/>
  <c r="G10" i="1"/>
  <c r="H10" i="1"/>
  <c r="I10" i="1"/>
  <c r="J10" i="1"/>
  <c r="K10" i="1"/>
  <c r="L10" i="1"/>
  <c r="D11" i="1"/>
  <c r="G11" i="1"/>
  <c r="H11" i="1"/>
  <c r="I11" i="1"/>
  <c r="J11" i="1"/>
  <c r="K11" i="1"/>
  <c r="L11" i="1"/>
  <c r="D12" i="1"/>
  <c r="G12" i="1"/>
  <c r="H12" i="1"/>
  <c r="I12" i="1"/>
  <c r="K12" i="1"/>
  <c r="J12" i="1"/>
  <c r="L12" i="1"/>
  <c r="D13" i="1"/>
  <c r="G13" i="1"/>
  <c r="H13" i="1"/>
  <c r="I13" i="1"/>
  <c r="K13" i="1"/>
  <c r="J13" i="1"/>
  <c r="L13" i="1"/>
  <c r="D14" i="1"/>
  <c r="G14" i="1"/>
  <c r="H14" i="1"/>
  <c r="I14" i="1"/>
  <c r="J14" i="1"/>
  <c r="K14" i="1"/>
  <c r="L14" i="1"/>
  <c r="D15" i="1"/>
  <c r="G15" i="1"/>
  <c r="H15" i="1"/>
  <c r="I15" i="1"/>
  <c r="J15" i="1"/>
  <c r="K15" i="1"/>
  <c r="L15" i="1"/>
  <c r="D16" i="1"/>
  <c r="G16" i="1"/>
  <c r="H16" i="1"/>
  <c r="I16" i="1"/>
  <c r="K16" i="1"/>
  <c r="J16" i="1"/>
  <c r="L16" i="1"/>
  <c r="B17" i="1"/>
  <c r="C17" i="1"/>
  <c r="E17" i="1"/>
  <c r="F17" i="1"/>
  <c r="I17" i="1"/>
  <c r="J17" i="1"/>
  <c r="B3" i="1"/>
  <c r="I3" i="1"/>
  <c r="G17" i="1"/>
  <c r="L15" i="11"/>
  <c r="N15" i="11" s="1"/>
  <c r="L14" i="11"/>
  <c r="N14" i="11" s="1"/>
  <c r="L17" i="11"/>
  <c r="N17" i="11" s="1"/>
  <c r="L18" i="11"/>
  <c r="N18" i="11" s="1"/>
  <c r="L19" i="11"/>
  <c r="N19" i="11" l="1"/>
  <c r="O57" i="11"/>
  <c r="L21" i="11"/>
  <c r="N21" i="11" s="1"/>
  <c r="N57" i="11"/>
  <c r="D9" i="11"/>
  <c r="L16" i="11"/>
  <c r="N16" i="11" s="1"/>
  <c r="L22" i="11" l="1"/>
  <c r="N22" i="11" s="1"/>
  <c r="L20" i="11"/>
  <c r="N20" i="11" s="1"/>
  <c r="L23" i="11" l="1"/>
  <c r="N23" i="11" s="1"/>
  <c r="L24" i="11" l="1"/>
  <c r="N24" i="11" s="1"/>
  <c r="C27" i="11" l="1"/>
  <c r="C26" i="11"/>
  <c r="L25" i="11"/>
  <c r="N25" i="11" s="1"/>
  <c r="C28" i="11" l="1"/>
  <c r="C31" i="11"/>
  <c r="C30" i="11"/>
  <c r="C29" i="11"/>
  <c r="L26" i="11"/>
  <c r="N26" i="11" s="1"/>
  <c r="C34" i="11" l="1"/>
  <c r="C36" i="11" s="1"/>
  <c r="C37" i="11" s="1"/>
  <c r="C38" i="11" s="1"/>
  <c r="C39" i="11" s="1"/>
  <c r="C40" i="11" s="1"/>
  <c r="C41" i="11" s="1"/>
  <c r="C42" i="11" s="1"/>
  <c r="C43" i="11" s="1"/>
  <c r="C44" i="11" s="1"/>
  <c r="C33" i="11"/>
  <c r="L33" i="11" s="1"/>
  <c r="N33" i="11" s="1"/>
  <c r="C32" i="11"/>
  <c r="L32" i="11" s="1"/>
  <c r="N32" i="11" s="1"/>
  <c r="L27" i="11"/>
  <c r="N27" i="11" s="1"/>
  <c r="L34" i="11" l="1"/>
  <c r="N34" i="11" s="1"/>
  <c r="L28" i="11"/>
  <c r="N28" i="11" s="1"/>
  <c r="L35" i="11" l="1"/>
  <c r="N35" i="11" s="1"/>
  <c r="L29" i="11"/>
  <c r="N29" i="11" s="1"/>
  <c r="L37" i="11" l="1"/>
  <c r="N37" i="11" s="1"/>
  <c r="L36" i="11"/>
  <c r="N36" i="11" s="1"/>
  <c r="L30" i="11"/>
  <c r="N30" i="11" s="1"/>
  <c r="L38" i="11" l="1"/>
  <c r="N38" i="11" s="1"/>
  <c r="L31" i="11"/>
  <c r="N31" i="11" s="1"/>
  <c r="L39" i="11" l="1"/>
  <c r="N39" i="11" s="1"/>
  <c r="L44" i="11"/>
  <c r="N44" i="11" s="1"/>
  <c r="L40" i="11" l="1"/>
  <c r="N40" i="11" s="1"/>
  <c r="L41" i="11" l="1"/>
  <c r="N41" i="11" s="1"/>
  <c r="L42" i="11" l="1"/>
  <c r="N42" i="11" s="1"/>
  <c r="L43" i="11" l="1"/>
  <c r="N43" i="11" s="1"/>
  <c r="I9" i="11"/>
  <c r="I8" i="11"/>
</calcChain>
</file>

<file path=xl/sharedStrings.xml><?xml version="1.0" encoding="utf-8"?>
<sst xmlns="http://schemas.openxmlformats.org/spreadsheetml/2006/main" count="315" uniqueCount="192">
  <si>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</si>
  <si>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</si>
  <si>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</si>
  <si>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</si>
  <si>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</si>
  <si>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</si>
  <si>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</si>
  <si>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</si>
  <si>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</si>
  <si>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</si>
  <si>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</si>
  <si>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</si>
  <si>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</si>
  <si>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</si>
  <si>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</si>
  <si>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</si>
  <si>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</si>
  <si>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</si>
  <si>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</si>
  <si>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</si>
  <si>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</si>
  <si>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</si>
  <si>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合計</t>
  </si>
  <si>
    <t>エントリー手法別エントリー回数</t>
  </si>
  <si>
    <t>リベンジャーズ</t>
  </si>
  <si>
    <t>TJK</t>
  </si>
  <si>
    <t>HIS +1010</t>
  </si>
  <si>
    <t>RF +1010</t>
  </si>
  <si>
    <t>通貨ペア</t>
    <rPh sb="0" eb="2">
      <t>ツウカ</t>
    </rPh>
    <phoneticPr fontId="9"/>
  </si>
  <si>
    <t>時間足</t>
    <rPh sb="0" eb="2">
      <t>ジカン</t>
    </rPh>
    <rPh sb="2" eb="3">
      <t>アシ</t>
    </rPh>
    <phoneticPr fontId="9"/>
  </si>
  <si>
    <t>当初資金</t>
    <rPh sb="0" eb="2">
      <t>トウショ</t>
    </rPh>
    <rPh sb="2" eb="4">
      <t>シキン</t>
    </rPh>
    <phoneticPr fontId="9"/>
  </si>
  <si>
    <t>最終資金</t>
    <rPh sb="0" eb="2">
      <t>サイシュウ</t>
    </rPh>
    <rPh sb="2" eb="4">
      <t>シキン</t>
    </rPh>
    <phoneticPr fontId="9"/>
  </si>
  <si>
    <t>損益金額</t>
    <rPh sb="0" eb="2">
      <t>ソンエキ</t>
    </rPh>
    <rPh sb="2" eb="4">
      <t>キンガク</t>
    </rPh>
    <phoneticPr fontId="9"/>
  </si>
  <si>
    <t>損益pips</t>
    <rPh sb="0" eb="2">
      <t>ソンエキ</t>
    </rPh>
    <phoneticPr fontId="9"/>
  </si>
  <si>
    <t>最大ドローアップ</t>
    <rPh sb="0" eb="2">
      <t>サイダイ</t>
    </rPh>
    <phoneticPr fontId="9"/>
  </si>
  <si>
    <t>最大ドローダウン</t>
    <rPh sb="0" eb="2">
      <t>サイダイ</t>
    </rPh>
    <phoneticPr fontId="9"/>
  </si>
  <si>
    <t>勝率</t>
    <rPh sb="0" eb="2">
      <t>ショウリツ</t>
    </rPh>
    <phoneticPr fontId="9"/>
  </si>
  <si>
    <t>最大連勝</t>
    <rPh sb="0" eb="2">
      <t>サイダイ</t>
    </rPh>
    <rPh sb="2" eb="4">
      <t>レンショウ</t>
    </rPh>
    <phoneticPr fontId="9"/>
  </si>
  <si>
    <t>最大連敗</t>
    <rPh sb="0" eb="2">
      <t>サイダイ</t>
    </rPh>
    <rPh sb="2" eb="4">
      <t>レンパイ</t>
    </rPh>
    <phoneticPr fontId="9"/>
  </si>
  <si>
    <t>No.</t>
    <phoneticPr fontId="9"/>
  </si>
  <si>
    <t>資金</t>
    <rPh sb="0" eb="2">
      <t>シキン</t>
    </rPh>
    <phoneticPr fontId="9"/>
  </si>
  <si>
    <t>エントリー</t>
    <phoneticPr fontId="9"/>
  </si>
  <si>
    <t>西暦</t>
    <rPh sb="0" eb="2">
      <t>セイレキ</t>
    </rPh>
    <phoneticPr fontId="9"/>
  </si>
  <si>
    <t>日付</t>
    <rPh sb="0" eb="2">
      <t>ヒヅケ</t>
    </rPh>
    <phoneticPr fontId="9"/>
  </si>
  <si>
    <t>売買</t>
    <rPh sb="0" eb="2">
      <t>バイバイ</t>
    </rPh>
    <phoneticPr fontId="9"/>
  </si>
  <si>
    <t>レート</t>
    <phoneticPr fontId="9"/>
  </si>
  <si>
    <t>pips</t>
    <phoneticPr fontId="9"/>
  </si>
  <si>
    <t>損失上限</t>
    <rPh sb="0" eb="2">
      <t>ソンシツ</t>
    </rPh>
    <rPh sb="2" eb="4">
      <t>ジョウゲン</t>
    </rPh>
    <phoneticPr fontId="9"/>
  </si>
  <si>
    <t>レート</t>
    <phoneticPr fontId="9"/>
  </si>
  <si>
    <t>金額</t>
    <rPh sb="0" eb="2">
      <t>キンガク</t>
    </rPh>
    <phoneticPr fontId="9"/>
  </si>
  <si>
    <t>買</t>
  </si>
  <si>
    <t>ストップ</t>
    <phoneticPr fontId="9"/>
  </si>
  <si>
    <t>リスク（2%）</t>
    <phoneticPr fontId="9"/>
  </si>
  <si>
    <t>決済通貨
/円レート</t>
    <rPh sb="0" eb="2">
      <t>ケッサイ</t>
    </rPh>
    <rPh sb="2" eb="4">
      <t>ツウカ</t>
    </rPh>
    <rPh sb="6" eb="7">
      <t>エン</t>
    </rPh>
    <phoneticPr fontId="9"/>
  </si>
  <si>
    <t>4時間</t>
    <rPh sb="1" eb="3">
      <t>ジカン</t>
    </rPh>
    <phoneticPr fontId="9"/>
  </si>
  <si>
    <t>取引数量</t>
    <rPh sb="0" eb="2">
      <t>トリヒキ</t>
    </rPh>
    <rPh sb="2" eb="4">
      <t>スウリョウ</t>
    </rPh>
    <phoneticPr fontId="9"/>
  </si>
  <si>
    <t>勝数</t>
    <rPh sb="0" eb="1">
      <t>カ</t>
    </rPh>
    <rPh sb="1" eb="2">
      <t>スウ</t>
    </rPh>
    <phoneticPr fontId="9"/>
  </si>
  <si>
    <t>負数</t>
    <rPh sb="0" eb="1">
      <t>マ</t>
    </rPh>
    <rPh sb="1" eb="2">
      <t>スウ</t>
    </rPh>
    <phoneticPr fontId="9"/>
  </si>
  <si>
    <t>引分</t>
    <rPh sb="0" eb="2">
      <t>ヒキワ</t>
    </rPh>
    <phoneticPr fontId="9"/>
  </si>
  <si>
    <t>レート</t>
    <phoneticPr fontId="9"/>
  </si>
  <si>
    <t>数量</t>
    <rPh sb="0" eb="2">
      <t>スウリョウ</t>
    </rPh>
    <phoneticPr fontId="9"/>
  </si>
  <si>
    <t xml:space="preserve">【entry】  </t>
    <phoneticPr fontId="9"/>
  </si>
  <si>
    <t xml:space="preserve">【決済 】 </t>
    <rPh sb="1" eb="3">
      <t>ケッサイ</t>
    </rPh>
    <phoneticPr fontId="9"/>
  </si>
  <si>
    <t>ルール</t>
    <phoneticPr fontId="9"/>
  </si>
  <si>
    <t>ルール</t>
    <phoneticPr fontId="9"/>
  </si>
  <si>
    <t>トレード期間</t>
    <rPh sb="4" eb="6">
      <t>キカン</t>
    </rPh>
    <phoneticPr fontId="9"/>
  </si>
  <si>
    <t>2016.9.19~2016.10.14</t>
    <phoneticPr fontId="9"/>
  </si>
  <si>
    <t>買エントリー回数</t>
    <rPh sb="0" eb="1">
      <t>カ</t>
    </rPh>
    <rPh sb="6" eb="8">
      <t>カイスウ</t>
    </rPh>
    <phoneticPr fontId="9"/>
  </si>
  <si>
    <t>売エントリー回数</t>
    <rPh sb="0" eb="1">
      <t>ウ</t>
    </rPh>
    <rPh sb="6" eb="8">
      <t>カイスウ</t>
    </rPh>
    <phoneticPr fontId="9"/>
  </si>
  <si>
    <t>合計トレード回数</t>
    <rPh sb="0" eb="2">
      <t>ゴウケイ</t>
    </rPh>
    <rPh sb="6" eb="8">
      <t>カイスウ</t>
    </rPh>
    <phoneticPr fontId="9"/>
  </si>
  <si>
    <t>合計利益</t>
    <rPh sb="0" eb="2">
      <t>ゴウケイ</t>
    </rPh>
    <rPh sb="2" eb="4">
      <t>リエキ</t>
    </rPh>
    <phoneticPr fontId="9"/>
  </si>
  <si>
    <t>合計損失</t>
    <rPh sb="0" eb="2">
      <t>ゴウケイ</t>
    </rPh>
    <rPh sb="2" eb="4">
      <t>ソンシツ</t>
    </rPh>
    <phoneticPr fontId="9"/>
  </si>
  <si>
    <t>平均利益</t>
    <rPh sb="0" eb="2">
      <t>ヘイキン</t>
    </rPh>
    <rPh sb="2" eb="4">
      <t>リエキ</t>
    </rPh>
    <phoneticPr fontId="9"/>
  </si>
  <si>
    <t>平均損失</t>
    <rPh sb="0" eb="2">
      <t>ヘイキン</t>
    </rPh>
    <rPh sb="2" eb="4">
      <t>ソンシツ</t>
    </rPh>
    <phoneticPr fontId="9"/>
  </si>
  <si>
    <t>通貨ペア別エントリー回数</t>
    <rPh sb="0" eb="2">
      <t>ツウカ</t>
    </rPh>
    <rPh sb="4" eb="5">
      <t>ベツ</t>
    </rPh>
    <rPh sb="10" eb="12">
      <t>カイスウ</t>
    </rPh>
    <phoneticPr fontId="9"/>
  </si>
  <si>
    <t>Buy</t>
    <phoneticPr fontId="9"/>
  </si>
  <si>
    <t>Sell</t>
    <phoneticPr fontId="9"/>
  </si>
  <si>
    <t>合計</t>
    <rPh sb="0" eb="2">
      <t>ゴウケイ</t>
    </rPh>
    <phoneticPr fontId="9"/>
  </si>
  <si>
    <t>Buy</t>
    <phoneticPr fontId="9"/>
  </si>
  <si>
    <t>Sell</t>
    <phoneticPr fontId="9"/>
  </si>
  <si>
    <t>計</t>
    <rPh sb="0" eb="1">
      <t>ケイ</t>
    </rPh>
    <phoneticPr fontId="9"/>
  </si>
  <si>
    <t>PAリベンジャーズ</t>
    <phoneticPr fontId="9"/>
  </si>
  <si>
    <t>エントリー手法</t>
    <rPh sb="5" eb="7">
      <t>シュホウ</t>
    </rPh>
    <phoneticPr fontId="9"/>
  </si>
  <si>
    <t>SMAに触れたPB</t>
    <rPh sb="4" eb="5">
      <t>フ</t>
    </rPh>
    <phoneticPr fontId="9"/>
  </si>
  <si>
    <t>SMAに触れそうなPB</t>
    <rPh sb="4" eb="5">
      <t>フ</t>
    </rPh>
    <phoneticPr fontId="9"/>
  </si>
  <si>
    <t>swap</t>
    <phoneticPr fontId="9"/>
  </si>
  <si>
    <t>AUD/CAD</t>
    <phoneticPr fontId="9"/>
  </si>
  <si>
    <t>AUD/CAD</t>
    <phoneticPr fontId="9"/>
  </si>
  <si>
    <t>NZD/CHF</t>
    <phoneticPr fontId="9"/>
  </si>
  <si>
    <t>売</t>
  </si>
  <si>
    <t>CAD/JPY</t>
    <phoneticPr fontId="9"/>
  </si>
  <si>
    <t>CHF/JPY</t>
    <phoneticPr fontId="9"/>
  </si>
  <si>
    <t>EUR/GBP</t>
    <phoneticPr fontId="9"/>
  </si>
  <si>
    <t>GBP/JPY</t>
    <phoneticPr fontId="9"/>
  </si>
  <si>
    <t>No.1</t>
    <phoneticPr fontId="9"/>
  </si>
  <si>
    <t>No.2</t>
  </si>
  <si>
    <t>No.4</t>
  </si>
  <si>
    <t>No.5</t>
  </si>
  <si>
    <t>・トレーリングストップとストップオーダーを間違った。</t>
    <rPh sb="21" eb="23">
      <t>マチガ</t>
    </rPh>
    <phoneticPr fontId="9"/>
  </si>
  <si>
    <t>No.6</t>
  </si>
  <si>
    <t>No.3</t>
  </si>
  <si>
    <t>No.7</t>
  </si>
  <si>
    <t>No.8</t>
  </si>
  <si>
    <t>No.9</t>
  </si>
  <si>
    <t>No.10</t>
  </si>
  <si>
    <t>No.11</t>
  </si>
  <si>
    <t>No.12</t>
  </si>
  <si>
    <t>No.13</t>
  </si>
  <si>
    <t>No.14</t>
  </si>
  <si>
    <t>No.15</t>
  </si>
  <si>
    <t>No.16</t>
  </si>
  <si>
    <t>NZD/CHF</t>
    <phoneticPr fontId="9"/>
  </si>
  <si>
    <t>実際の（約定）エントリー</t>
    <rPh sb="0" eb="2">
      <t>ジッサイ</t>
    </rPh>
    <rPh sb="4" eb="6">
      <t>ヤクジョウ</t>
    </rPh>
    <phoneticPr fontId="9"/>
  </si>
  <si>
    <t>決済（約定）</t>
    <rPh sb="0" eb="2">
      <t>ケッサイ</t>
    </rPh>
    <rPh sb="3" eb="5">
      <t>ヤクジョウ</t>
    </rPh>
    <phoneticPr fontId="9"/>
  </si>
  <si>
    <t>損益（計算上）</t>
    <rPh sb="0" eb="2">
      <t>ソンエキ</t>
    </rPh>
    <rPh sb="3" eb="6">
      <t>ケイサンジョウ</t>
    </rPh>
    <phoneticPr fontId="9"/>
  </si>
  <si>
    <t>損益（約定）</t>
    <rPh sb="0" eb="2">
      <t>ソンエキ</t>
    </rPh>
    <rPh sb="3" eb="5">
      <t>ヤクジョウ</t>
    </rPh>
    <phoneticPr fontId="9"/>
  </si>
  <si>
    <t>平均損益pips</t>
    <rPh sb="0" eb="2">
      <t>ヘイキン</t>
    </rPh>
    <phoneticPr fontId="9"/>
  </si>
  <si>
    <t>総損益pips</t>
    <rPh sb="0" eb="1">
      <t>ソウ</t>
    </rPh>
    <phoneticPr fontId="9"/>
  </si>
  <si>
    <t>AUD/CAD</t>
    <phoneticPr fontId="9"/>
  </si>
  <si>
    <t>EUR/NZD</t>
    <phoneticPr fontId="9"/>
  </si>
  <si>
    <t>NZD/USD</t>
    <phoneticPr fontId="9"/>
  </si>
  <si>
    <t>・高値更新のため、注文キャンセル。</t>
    <rPh sb="1" eb="3">
      <t>タカネ</t>
    </rPh>
    <rPh sb="3" eb="5">
      <t>コウシン</t>
    </rPh>
    <rPh sb="9" eb="11">
      <t>チュウモン</t>
    </rPh>
    <phoneticPr fontId="9"/>
  </si>
  <si>
    <t>・安値更新のため、注文キャンセル。</t>
    <rPh sb="1" eb="3">
      <t>ヤスネ</t>
    </rPh>
    <rPh sb="3" eb="5">
      <t>コウシン</t>
    </rPh>
    <rPh sb="9" eb="11">
      <t>チュウモン</t>
    </rPh>
    <phoneticPr fontId="9"/>
  </si>
  <si>
    <t>CAD/CHF</t>
    <phoneticPr fontId="9"/>
  </si>
  <si>
    <t>EUR/USD</t>
    <phoneticPr fontId="9"/>
  </si>
  <si>
    <t>NZD/JPY</t>
    <phoneticPr fontId="9"/>
  </si>
  <si>
    <t>AUD/CAD</t>
    <phoneticPr fontId="9"/>
  </si>
  <si>
    <t>・PBの次のキャンドルが確定する前に指値注文して、注文が通った後にキャンセル条件がそろって損切になってしまった。</t>
    <rPh sb="4" eb="5">
      <t>ツギ</t>
    </rPh>
    <rPh sb="12" eb="14">
      <t>カクテイ</t>
    </rPh>
    <rPh sb="16" eb="17">
      <t>マエ</t>
    </rPh>
    <rPh sb="18" eb="20">
      <t>サシネ</t>
    </rPh>
    <rPh sb="20" eb="22">
      <t>チュウモン</t>
    </rPh>
    <rPh sb="25" eb="27">
      <t>チュウモン</t>
    </rPh>
    <rPh sb="28" eb="29">
      <t>トオ</t>
    </rPh>
    <rPh sb="31" eb="32">
      <t>アト</t>
    </rPh>
    <rPh sb="38" eb="40">
      <t>ジョウケン</t>
    </rPh>
    <rPh sb="45" eb="47">
      <t>ソンギリ</t>
    </rPh>
    <phoneticPr fontId="9"/>
  </si>
  <si>
    <t>cancel</t>
    <phoneticPr fontId="9"/>
  </si>
  <si>
    <t>EUR/NZD</t>
    <phoneticPr fontId="9"/>
  </si>
  <si>
    <t>entry</t>
    <phoneticPr fontId="9"/>
  </si>
  <si>
    <t>cancel</t>
    <phoneticPr fontId="9"/>
  </si>
  <si>
    <t>Buy</t>
    <phoneticPr fontId="9"/>
  </si>
  <si>
    <t>Sell</t>
    <phoneticPr fontId="9"/>
  </si>
  <si>
    <t>計</t>
    <rPh sb="0" eb="1">
      <t>ケイ</t>
    </rPh>
    <phoneticPr fontId="9"/>
  </si>
  <si>
    <t>NZD/USD</t>
    <phoneticPr fontId="9"/>
  </si>
  <si>
    <t>CAD/CHF</t>
    <phoneticPr fontId="9"/>
  </si>
  <si>
    <t>EUR/USD</t>
    <phoneticPr fontId="9"/>
  </si>
  <si>
    <t>NZD/JPY</t>
    <phoneticPr fontId="9"/>
  </si>
  <si>
    <t>1時間</t>
    <rPh sb="1" eb="3">
      <t>ジカン</t>
    </rPh>
    <phoneticPr fontId="9"/>
  </si>
  <si>
    <t>AUD/JPY</t>
    <phoneticPr fontId="9"/>
  </si>
  <si>
    <t xml:space="preserve"> ルール3：仕掛け2（10/20SMAにEBが触れて、買いなら高値、売りなら安値を割ったらエントリー。）</t>
    <rPh sb="6" eb="8">
      <t>シカ</t>
    </rPh>
    <rPh sb="23" eb="24">
      <t>フ</t>
    </rPh>
    <rPh sb="27" eb="28">
      <t>カ</t>
    </rPh>
    <rPh sb="31" eb="33">
      <t>タカネ</t>
    </rPh>
    <rPh sb="34" eb="35">
      <t>ウ</t>
    </rPh>
    <rPh sb="38" eb="40">
      <t>ヤスネ</t>
    </rPh>
    <rPh sb="41" eb="42">
      <t>ワ</t>
    </rPh>
    <phoneticPr fontId="9"/>
  </si>
  <si>
    <t xml:space="preserve"> ルール1：仕掛け1（10/20SMAにPBが触れて、買いなら高値、売りなら安値を割ったらエントリー。）</t>
    <rPh sb="6" eb="8">
      <t>シカ</t>
    </rPh>
    <rPh sb="23" eb="24">
      <t>フ</t>
    </rPh>
    <rPh sb="27" eb="28">
      <t>カ</t>
    </rPh>
    <rPh sb="31" eb="33">
      <t>タカネ</t>
    </rPh>
    <rPh sb="34" eb="35">
      <t>ウ</t>
    </rPh>
    <rPh sb="38" eb="40">
      <t>ヤスネ</t>
    </rPh>
    <rPh sb="41" eb="42">
      <t>ワ</t>
    </rPh>
    <phoneticPr fontId="9"/>
  </si>
  <si>
    <t xml:space="preserve"> ルール2：仕掛け1もどき（10/20SMAにPBが触れそうで、買いなら高値、売りなら安値を割ったらエントリー。）</t>
    <rPh sb="6" eb="8">
      <t>シカ</t>
    </rPh>
    <rPh sb="26" eb="27">
      <t>フ</t>
    </rPh>
    <rPh sb="32" eb="33">
      <t>カ</t>
    </rPh>
    <rPh sb="36" eb="38">
      <t>タカネ</t>
    </rPh>
    <rPh sb="39" eb="40">
      <t>ウ</t>
    </rPh>
    <rPh sb="43" eb="45">
      <t>ヤスネ</t>
    </rPh>
    <rPh sb="46" eb="47">
      <t>ワ</t>
    </rPh>
    <phoneticPr fontId="9"/>
  </si>
  <si>
    <t>GBP/NZD</t>
    <phoneticPr fontId="9"/>
  </si>
  <si>
    <t>NZD/CAD</t>
    <phoneticPr fontId="9"/>
  </si>
  <si>
    <t>USD/CHF</t>
    <phoneticPr fontId="9"/>
  </si>
  <si>
    <t>ルール6：トレールストップ（ダウ理論、EB、PB）</t>
    <rPh sb="16" eb="18">
      <t>リロン</t>
    </rPh>
    <phoneticPr fontId="9"/>
  </si>
  <si>
    <t>AUD/NZD</t>
    <phoneticPr fontId="9"/>
  </si>
  <si>
    <t>AUD/USD</t>
    <phoneticPr fontId="9"/>
  </si>
  <si>
    <t>NZD/CHF</t>
    <phoneticPr fontId="9"/>
  </si>
  <si>
    <t>No.17</t>
  </si>
  <si>
    <t>No.18</t>
  </si>
  <si>
    <t>No.19</t>
  </si>
  <si>
    <t>No.20</t>
  </si>
  <si>
    <t>AUD/JPY</t>
    <phoneticPr fontId="9"/>
  </si>
  <si>
    <t>GBP/NZD</t>
    <phoneticPr fontId="9"/>
  </si>
  <si>
    <t>NZD/CHF</t>
    <phoneticPr fontId="9"/>
  </si>
  <si>
    <t>NZD/CAD</t>
    <phoneticPr fontId="9"/>
  </si>
  <si>
    <t>USD/CHF</t>
    <phoneticPr fontId="9"/>
  </si>
  <si>
    <t>AUD/NZD</t>
    <phoneticPr fontId="9"/>
  </si>
  <si>
    <t>AUD/USD</t>
    <phoneticPr fontId="9"/>
  </si>
  <si>
    <t>SMAに触れたEB</t>
    <rPh sb="4" eb="5">
      <t>フ</t>
    </rPh>
    <phoneticPr fontId="9"/>
  </si>
  <si>
    <t>USD/CAD</t>
    <phoneticPr fontId="9"/>
  </si>
  <si>
    <t>USD/CHF</t>
    <phoneticPr fontId="9"/>
  </si>
  <si>
    <t>・取引数量の計算を間違った。トレーリングストップとストップオーダーを間違った。</t>
    <rPh sb="1" eb="3">
      <t>トリヒキ</t>
    </rPh>
    <rPh sb="3" eb="5">
      <t>スウリョウ</t>
    </rPh>
    <rPh sb="6" eb="8">
      <t>ケイサン</t>
    </rPh>
    <rPh sb="9" eb="11">
      <t>マチガ</t>
    </rPh>
    <rPh sb="34" eb="36">
      <t>マチガ</t>
    </rPh>
    <phoneticPr fontId="9"/>
  </si>
  <si>
    <t xml:space="preserve">［投資歴］
　2016.5.7　FXについて興味を持ち、根崎先生の「フリスタFXの秘密」に出会う
　2016.8.31 入塾
　2016.9.19 初デモトレード
［現状］負けている。　
</t>
    <rPh sb="1" eb="3">
      <t>トウシ</t>
    </rPh>
    <rPh sb="3" eb="4">
      <t>レキ</t>
    </rPh>
    <rPh sb="22" eb="24">
      <t>キョウミ</t>
    </rPh>
    <rPh sb="25" eb="26">
      <t>モ</t>
    </rPh>
    <rPh sb="28" eb="29">
      <t>ネ</t>
    </rPh>
    <rPh sb="29" eb="30">
      <t>ザキ</t>
    </rPh>
    <rPh sb="30" eb="32">
      <t>センセイ</t>
    </rPh>
    <rPh sb="41" eb="43">
      <t>ヒミツ</t>
    </rPh>
    <rPh sb="45" eb="47">
      <t>デア</t>
    </rPh>
    <rPh sb="60" eb="62">
      <t>ニュウジュク</t>
    </rPh>
    <rPh sb="74" eb="75">
      <t>ハツ</t>
    </rPh>
    <rPh sb="83" eb="85">
      <t>ゲンジョウ</t>
    </rPh>
    <rPh sb="86" eb="87">
      <t>マ</t>
    </rPh>
    <phoneticPr fontId="9"/>
  </si>
  <si>
    <r>
      <rPr>
        <u/>
        <sz val="11"/>
        <color indexed="8"/>
        <rFont val="メイリオ"/>
        <family val="3"/>
        <charset val="128"/>
      </rPr>
      <t>質問</t>
    </r>
    <r>
      <rPr>
        <sz val="11"/>
        <color indexed="8"/>
        <rFont val="メイリオ"/>
        <family val="3"/>
        <charset val="128"/>
      </rPr>
      <t xml:space="preserve">
・PCでデモトレを検証したら、今までスマホで見ていたチャートとかなり違うチャートになっているのですが、それは仕方ないのでしょうか？
</t>
    </r>
    <rPh sb="0" eb="2">
      <t>シツモン</t>
    </rPh>
    <rPh sb="12" eb="14">
      <t>ケンショウ</t>
    </rPh>
    <rPh sb="18" eb="19">
      <t>イマ</t>
    </rPh>
    <rPh sb="25" eb="26">
      <t>ミ</t>
    </rPh>
    <rPh sb="37" eb="38">
      <t>チガ</t>
    </rPh>
    <rPh sb="57" eb="59">
      <t>シカタ</t>
    </rPh>
    <phoneticPr fontId="9"/>
  </si>
  <si>
    <r>
      <rPr>
        <u/>
        <sz val="11"/>
        <color indexed="8"/>
        <rFont val="メイリオ"/>
        <family val="3"/>
        <charset val="128"/>
      </rPr>
      <t>気付き</t>
    </r>
    <r>
      <rPr>
        <sz val="11"/>
        <color indexed="8"/>
        <rFont val="メイリオ"/>
        <family val="3"/>
        <charset val="128"/>
      </rPr>
      <t xml:space="preserve">
・日常、1時間足で1時間ごとに見るのはやっぱり大変だとわかり、4時間足が自分には合っていると思った。
・複数の通貨ペアで、エントリーをPBだけですると4時間ごとに0-1回くらいのエントリー回数だが、
　EBを入れると4時間ごとに多い時は5-6回くらいエントリーチャンスがあって、多すぎる。絞れるようになりたい。
・同時にエントリーチャンスがあることもあるので、全ての通貨ペアを一通り見てから選んでエントリーした方がいい。
　でも選び方がわからないので、検証していく。
・同時にエントリーする通貨ペアは4つくらいまででないとチェックしきれず、リスクもある。
・PBのひげの長さでいつもエントリーに悩む。ひげの長さよりも実体との比率の方が重要なのかもしれない。
</t>
    </r>
    <rPh sb="0" eb="2">
      <t>キヅ</t>
    </rPh>
    <rPh sb="5" eb="7">
      <t>ニチジョウ</t>
    </rPh>
    <rPh sb="9" eb="11">
      <t>ジカン</t>
    </rPh>
    <rPh sb="11" eb="12">
      <t>アシ</t>
    </rPh>
    <rPh sb="14" eb="16">
      <t>ジカン</t>
    </rPh>
    <rPh sb="19" eb="20">
      <t>ミ</t>
    </rPh>
    <rPh sb="27" eb="29">
      <t>タイヘン</t>
    </rPh>
    <rPh sb="36" eb="38">
      <t>ジカン</t>
    </rPh>
    <rPh sb="38" eb="39">
      <t>アシ</t>
    </rPh>
    <rPh sb="40" eb="42">
      <t>ジブン</t>
    </rPh>
    <rPh sb="44" eb="45">
      <t>ア</t>
    </rPh>
    <rPh sb="50" eb="51">
      <t>オモ</t>
    </rPh>
    <rPh sb="56" eb="58">
      <t>フクスウ</t>
    </rPh>
    <rPh sb="59" eb="61">
      <t>ツウカ</t>
    </rPh>
    <rPh sb="80" eb="82">
      <t>ジカン</t>
    </rPh>
    <rPh sb="88" eb="89">
      <t>カイ</t>
    </rPh>
    <rPh sb="98" eb="100">
      <t>カイスウ</t>
    </rPh>
    <rPh sb="108" eb="109">
      <t>イ</t>
    </rPh>
    <rPh sb="113" eb="115">
      <t>ジカン</t>
    </rPh>
    <rPh sb="118" eb="119">
      <t>オオ</t>
    </rPh>
    <rPh sb="120" eb="121">
      <t>トキ</t>
    </rPh>
    <rPh sb="125" eb="126">
      <t>カイ</t>
    </rPh>
    <rPh sb="143" eb="144">
      <t>オオ</t>
    </rPh>
    <rPh sb="148" eb="149">
      <t>シボ</t>
    </rPh>
    <rPh sb="161" eb="163">
      <t>ドウジ</t>
    </rPh>
    <rPh sb="184" eb="185">
      <t>スベ</t>
    </rPh>
    <rPh sb="187" eb="189">
      <t>ツウカ</t>
    </rPh>
    <rPh sb="192" eb="194">
      <t>ヒトトオ</t>
    </rPh>
    <rPh sb="195" eb="196">
      <t>ミ</t>
    </rPh>
    <rPh sb="199" eb="200">
      <t>エラ</t>
    </rPh>
    <rPh sb="209" eb="210">
      <t>ホウ</t>
    </rPh>
    <rPh sb="218" eb="219">
      <t>エラ</t>
    </rPh>
    <rPh sb="220" eb="221">
      <t>カタ</t>
    </rPh>
    <rPh sb="230" eb="232">
      <t>ケンショウ</t>
    </rPh>
    <rPh sb="239" eb="241">
      <t>ドウジ</t>
    </rPh>
    <rPh sb="249" eb="251">
      <t>ツウカ</t>
    </rPh>
    <rPh sb="289" eb="290">
      <t>ナガ</t>
    </rPh>
    <rPh sb="301" eb="302">
      <t>ナヤ</t>
    </rPh>
    <rPh sb="307" eb="308">
      <t>ナガ</t>
    </rPh>
    <rPh sb="312" eb="314">
      <t>ジッタイ</t>
    </rPh>
    <rPh sb="316" eb="318">
      <t>ヒリツ</t>
    </rPh>
    <rPh sb="319" eb="320">
      <t>ホウ</t>
    </rPh>
    <rPh sb="321" eb="323">
      <t>ジュウヨウ</t>
    </rPh>
    <phoneticPr fontId="9"/>
  </si>
  <si>
    <r>
      <rPr>
        <u/>
        <sz val="11"/>
        <color indexed="8"/>
        <rFont val="メイリオ"/>
        <family val="3"/>
        <charset val="128"/>
      </rPr>
      <t xml:space="preserve">感想
</t>
    </r>
    <r>
      <rPr>
        <sz val="11"/>
        <color indexed="8"/>
        <rFont val="メイリオ"/>
        <family val="3"/>
        <charset val="128"/>
      </rPr>
      <t xml:space="preserve">・初めてのデモトレードは操作方法が分からず、ストップを動かせると思ってトレールストップというのを設定したら、動かせず、
　まだ決済しなくて良かったのに決済されてしまい、残念だった。
・とにかくトレード画面の操作に慣れず、取引数量を間違ったり、意図しないところで決済になったところが残念だった。
・取引数量を計算するために、検証のエクセルに入っている数式の意味を考え続けることにかなりの時間を費やし、
　なんとか自分で計算式を変形できたが（「1609」タブ参照）、まだすらすらと暗算できるところまではいかないので
　どんどんトレードして慣れたい。
・証券会社のアプリはかなり使えるようになったが、MT4で証券会社のアプリと同じようなことができず、苦戦中。
</t>
    </r>
    <rPh sb="0" eb="2">
      <t>カンソウ</t>
    </rPh>
    <rPh sb="4" eb="5">
      <t>ハジ</t>
    </rPh>
    <rPh sb="15" eb="17">
      <t>ソウサ</t>
    </rPh>
    <rPh sb="17" eb="19">
      <t>ホウホウ</t>
    </rPh>
    <rPh sb="20" eb="21">
      <t>ワ</t>
    </rPh>
    <rPh sb="30" eb="31">
      <t>ウゴ</t>
    </rPh>
    <rPh sb="35" eb="36">
      <t>オモ</t>
    </rPh>
    <rPh sb="51" eb="53">
      <t>セッテイ</t>
    </rPh>
    <rPh sb="57" eb="58">
      <t>ウゴ</t>
    </rPh>
    <rPh sb="66" eb="68">
      <t>ケッサイ</t>
    </rPh>
    <rPh sb="72" eb="73">
      <t>ヨ</t>
    </rPh>
    <rPh sb="78" eb="80">
      <t>ケッサイ</t>
    </rPh>
    <rPh sb="87" eb="89">
      <t>ザンネン</t>
    </rPh>
    <rPh sb="103" eb="105">
      <t>ガメン</t>
    </rPh>
    <rPh sb="106" eb="108">
      <t>ソウサ</t>
    </rPh>
    <rPh sb="109" eb="110">
      <t>ナ</t>
    </rPh>
    <rPh sb="113" eb="115">
      <t>トリヒキ</t>
    </rPh>
    <rPh sb="115" eb="117">
      <t>スウリョウ</t>
    </rPh>
    <rPh sb="118" eb="120">
      <t>マチガ</t>
    </rPh>
    <rPh sb="124" eb="126">
      <t>イト</t>
    </rPh>
    <rPh sb="133" eb="135">
      <t>ケッサイ</t>
    </rPh>
    <rPh sb="143" eb="145">
      <t>ザンネン</t>
    </rPh>
    <rPh sb="151" eb="153">
      <t>トリヒキ</t>
    </rPh>
    <rPh sb="153" eb="155">
      <t>スウリョウ</t>
    </rPh>
    <rPh sb="156" eb="158">
      <t>ケイサン</t>
    </rPh>
    <rPh sb="164" eb="166">
      <t>ケンショウ</t>
    </rPh>
    <rPh sb="172" eb="173">
      <t>ハイ</t>
    </rPh>
    <rPh sb="177" eb="179">
      <t>スウシキ</t>
    </rPh>
    <rPh sb="180" eb="182">
      <t>イミ</t>
    </rPh>
    <rPh sb="183" eb="184">
      <t>カンガ</t>
    </rPh>
    <rPh sb="185" eb="186">
      <t>ツヅ</t>
    </rPh>
    <rPh sb="195" eb="197">
      <t>ジカン</t>
    </rPh>
    <rPh sb="198" eb="199">
      <t>ツイ</t>
    </rPh>
    <rPh sb="208" eb="210">
      <t>ジブン</t>
    </rPh>
    <rPh sb="211" eb="214">
      <t>ケイサンシキ</t>
    </rPh>
    <rPh sb="215" eb="217">
      <t>ヘンケイ</t>
    </rPh>
    <rPh sb="230" eb="232">
      <t>サンショウ</t>
    </rPh>
    <rPh sb="241" eb="243">
      <t>アンザン</t>
    </rPh>
    <rPh sb="270" eb="271">
      <t>ナ</t>
    </rPh>
    <rPh sb="277" eb="279">
      <t>ショウケン</t>
    </rPh>
    <rPh sb="279" eb="281">
      <t>ガイシャ</t>
    </rPh>
    <rPh sb="289" eb="290">
      <t>ツカ</t>
    </rPh>
    <rPh sb="304" eb="306">
      <t>ショウケン</t>
    </rPh>
    <rPh sb="306" eb="308">
      <t>ガイシャ</t>
    </rPh>
    <rPh sb="313" eb="314">
      <t>オナ</t>
    </rPh>
    <rPh sb="325" eb="328">
      <t>クセンチュウ</t>
    </rPh>
    <phoneticPr fontId="9"/>
  </si>
  <si>
    <r>
      <rPr>
        <u/>
        <sz val="11"/>
        <color indexed="8"/>
        <rFont val="メイリオ"/>
        <family val="3"/>
        <charset val="128"/>
      </rPr>
      <t xml:space="preserve">今後の課題
</t>
    </r>
    <r>
      <rPr>
        <sz val="11"/>
        <color indexed="8"/>
        <rFont val="メイリオ"/>
        <family val="3"/>
        <charset val="128"/>
      </rPr>
      <t>・デモトレードした後の検証をどうすればいいのか答えをみつける。
・証券会社のアプリと同じくらいMT4を使えるようになる。
・過去の検証を引き続き行う。</t>
    </r>
    <rPh sb="0" eb="2">
      <t>コンゴ</t>
    </rPh>
    <rPh sb="3" eb="5">
      <t>カダイ</t>
    </rPh>
    <rPh sb="15" eb="16">
      <t>アト</t>
    </rPh>
    <rPh sb="17" eb="19">
      <t>ケンショウ</t>
    </rPh>
    <rPh sb="29" eb="30">
      <t>コタ</t>
    </rPh>
    <rPh sb="39" eb="41">
      <t>ショウケン</t>
    </rPh>
    <rPh sb="41" eb="43">
      <t>ガイシャ</t>
    </rPh>
    <rPh sb="48" eb="49">
      <t>オナ</t>
    </rPh>
    <rPh sb="57" eb="58">
      <t>ツカ</t>
    </rPh>
    <rPh sb="68" eb="70">
      <t>カコ</t>
    </rPh>
    <rPh sb="71" eb="73">
      <t>ケンショウ</t>
    </rPh>
    <rPh sb="74" eb="75">
      <t>ヒ</t>
    </rPh>
    <rPh sb="76" eb="77">
      <t>ツヅ</t>
    </rPh>
    <rPh sb="78" eb="79">
      <t>オコナ</t>
    </rPh>
    <phoneticPr fontId="9"/>
  </si>
  <si>
    <t>・ひげを使って前のキャンドルを包み込んだEBは弱いのか、すぐに損切になってしまった。</t>
    <rPh sb="4" eb="5">
      <t>ツカ</t>
    </rPh>
    <rPh sb="7" eb="8">
      <t>マエ</t>
    </rPh>
    <rPh sb="15" eb="16">
      <t>ツツ</t>
    </rPh>
    <rPh sb="17" eb="18">
      <t>コ</t>
    </rPh>
    <rPh sb="23" eb="24">
      <t>ヨワ</t>
    </rPh>
    <rPh sb="31" eb="33">
      <t>ソンギリ</t>
    </rPh>
    <phoneticPr fontId="9"/>
  </si>
  <si>
    <t>・買と間違った。緑が陽線、赤が陰線ということを忘れたら、始値と終値をチェックする！</t>
    <rPh sb="1" eb="2">
      <t>カ</t>
    </rPh>
    <rPh sb="3" eb="5">
      <t>マチガ</t>
    </rPh>
    <rPh sb="8" eb="9">
      <t>ミドリ</t>
    </rPh>
    <rPh sb="10" eb="12">
      <t>ヨウセン</t>
    </rPh>
    <rPh sb="13" eb="14">
      <t>アカ</t>
    </rPh>
    <rPh sb="15" eb="17">
      <t>インセン</t>
    </rPh>
    <rPh sb="23" eb="24">
      <t>ワス</t>
    </rPh>
    <rPh sb="28" eb="29">
      <t>ハジ</t>
    </rPh>
    <rPh sb="29" eb="30">
      <t>ネ</t>
    </rPh>
    <rPh sb="31" eb="33">
      <t>オワリネ</t>
    </rPh>
    <phoneticPr fontId="9"/>
  </si>
  <si>
    <t>・ルール通りなので仕方がない。</t>
    <rPh sb="4" eb="5">
      <t>トオ</t>
    </rPh>
    <rPh sb="9" eb="11">
      <t>シカタ</t>
    </rPh>
    <phoneticPr fontId="9"/>
  </si>
  <si>
    <t>No.21</t>
  </si>
  <si>
    <t>No.22</t>
  </si>
  <si>
    <t>No.23</t>
  </si>
  <si>
    <t>No.24</t>
  </si>
  <si>
    <t>No.25</t>
  </si>
  <si>
    <t>・取引数量の計算を間違った。前もって損切しなくても結果は一緒だったので、3で決済してもいい？</t>
    <rPh sb="1" eb="3">
      <t>トリヒキ</t>
    </rPh>
    <rPh sb="3" eb="5">
      <t>スウリョウ</t>
    </rPh>
    <rPh sb="6" eb="8">
      <t>ケイサン</t>
    </rPh>
    <rPh sb="9" eb="11">
      <t>マチガ</t>
    </rPh>
    <rPh sb="14" eb="15">
      <t>マエ</t>
    </rPh>
    <rPh sb="18" eb="20">
      <t>ソンギリ</t>
    </rPh>
    <rPh sb="25" eb="27">
      <t>ケッカ</t>
    </rPh>
    <rPh sb="28" eb="30">
      <t>イッショ</t>
    </rPh>
    <rPh sb="38" eb="40">
      <t>ケッサイ</t>
    </rPh>
    <phoneticPr fontId="9"/>
  </si>
  <si>
    <t>・ルール通りなので仕方がない。一時は2,000円くらい儲かってたのになぁ～。</t>
    <rPh sb="4" eb="5">
      <t>トオ</t>
    </rPh>
    <rPh sb="9" eb="11">
      <t>シカタ</t>
    </rPh>
    <rPh sb="15" eb="17">
      <t>イチジ</t>
    </rPh>
    <rPh sb="23" eb="24">
      <t>エン</t>
    </rPh>
    <rPh sb="27" eb="28">
      <t>モウ</t>
    </rPh>
    <phoneticPr fontId="9"/>
  </si>
  <si>
    <t>・何をしたらこんな決済になるんだろう？操作方法不明。一時は1４,000円くらい儲かってたのになぁ～。</t>
    <rPh sb="1" eb="2">
      <t>ナニ</t>
    </rPh>
    <rPh sb="9" eb="11">
      <t>ケッサイ</t>
    </rPh>
    <rPh sb="19" eb="21">
      <t>ソウサ</t>
    </rPh>
    <rPh sb="21" eb="23">
      <t>ホウホウ</t>
    </rPh>
    <rPh sb="23" eb="25">
      <t>フメイ</t>
    </rPh>
    <rPh sb="26" eb="28">
      <t>イチジ</t>
    </rPh>
    <rPh sb="35" eb="36">
      <t>エン</t>
    </rPh>
    <rPh sb="39" eb="40">
      <t>モウ</t>
    </rPh>
    <phoneticPr fontId="9"/>
  </si>
  <si>
    <t>ルール5：50pips以上の利益でエントリーレートに途中でストップを変更して決済</t>
    <rPh sb="11" eb="13">
      <t>イジョウ</t>
    </rPh>
    <rPh sb="14" eb="16">
      <t>リエキ</t>
    </rPh>
    <rPh sb="26" eb="28">
      <t>トチュウ</t>
    </rPh>
    <rPh sb="34" eb="36">
      <t>ヘンコウ</t>
    </rPh>
    <rPh sb="38" eb="40">
      <t>ケッサイ</t>
    </rPh>
    <phoneticPr fontId="9"/>
  </si>
  <si>
    <t>ルール4：トレーリングストップ？</t>
    <phoneticPr fontId="9"/>
  </si>
  <si>
    <t>ルール3：逆方向のSMAにキャンドルが触れそうになったら決済</t>
    <rPh sb="5" eb="6">
      <t>ギャク</t>
    </rPh>
    <rPh sb="6" eb="8">
      <t>ホウコウ</t>
    </rPh>
    <rPh sb="19" eb="20">
      <t>フ</t>
    </rPh>
    <rPh sb="28" eb="30">
      <t>ケッサイ</t>
    </rPh>
    <phoneticPr fontId="9"/>
  </si>
  <si>
    <t>ルール2：PB損切（買いなら安値、売りなら高値）</t>
    <rPh sb="7" eb="9">
      <t>ソンギリ</t>
    </rPh>
    <rPh sb="10" eb="11">
      <t>カ</t>
    </rPh>
    <rPh sb="14" eb="16">
      <t>ヤスネ</t>
    </rPh>
    <rPh sb="17" eb="18">
      <t>ウ</t>
    </rPh>
    <rPh sb="21" eb="23">
      <t>タカネ</t>
    </rPh>
    <phoneticPr fontId="9"/>
  </si>
  <si>
    <t>ルール1：トレールストップ（ダウ理論）</t>
    <phoneticPr fontId="9"/>
  </si>
  <si>
    <t>・ルール通りなので仕方がない。一時は４,000円くらい儲かってたのになぁ～。</t>
    <rPh sb="4" eb="5">
      <t>ドオ</t>
    </rPh>
    <rPh sb="9" eb="11">
      <t>シカタ</t>
    </rPh>
    <rPh sb="15" eb="17">
      <t>イチジ</t>
    </rPh>
    <rPh sb="23" eb="24">
      <t>エン</t>
    </rPh>
    <rPh sb="27" eb="28">
      <t>モウ</t>
    </rPh>
    <phoneticPr fontId="9"/>
  </si>
  <si>
    <t>・おぉ～っ！初めて自分で勝った～。</t>
    <rPh sb="6" eb="7">
      <t>ハジ</t>
    </rPh>
    <rPh sb="9" eb="11">
      <t>ジブン</t>
    </rPh>
    <rPh sb="12" eb="13">
      <t>カ</t>
    </rPh>
    <phoneticPr fontId="9"/>
  </si>
  <si>
    <t>・寝てしまい、ストップを動かせなかった。一時は7,000円くらい儲かってたのになぁ～。</t>
    <rPh sb="1" eb="2">
      <t>ネ</t>
    </rPh>
    <rPh sb="12" eb="13">
      <t>ウゴ</t>
    </rPh>
    <rPh sb="20" eb="22">
      <t>イチジ</t>
    </rPh>
    <rPh sb="28" eb="29">
      <t>エン</t>
    </rPh>
    <rPh sb="32" eb="33">
      <t>モウ</t>
    </rPh>
    <phoneticPr fontId="9"/>
  </si>
  <si>
    <t>トレード中</t>
    <phoneticPr fontId="9"/>
  </si>
  <si>
    <r>
      <rPr>
        <u/>
        <sz val="11"/>
        <color indexed="8"/>
        <rFont val="メイリオ"/>
        <family val="3"/>
        <charset val="128"/>
      </rPr>
      <t xml:space="preserve">2016年9月28日　あるびん 初デモトレード：2016.9.28
</t>
    </r>
    <r>
      <rPr>
        <sz val="11"/>
        <color indexed="8"/>
        <rFont val="メイリオ"/>
        <family val="3"/>
        <charset val="128"/>
      </rPr>
      <t>初めてのデモトレードをしました。
PCで検証しようとしたら、
スマホで見ていたチャートと違って検証がうまくできませんでした。
そういうものなのでしょうか？？？
デモトレード内容はこちら↓
ALVINデモトレード結果～2016.9.28</t>
    </r>
    <rPh sb="4" eb="5">
      <t>ネン</t>
    </rPh>
    <rPh sb="6" eb="7">
      <t>ガツ</t>
    </rPh>
    <rPh sb="9" eb="10">
      <t>ニチ</t>
    </rPh>
    <rPh sb="16" eb="17">
      <t>ハツ</t>
    </rPh>
    <rPh sb="34" eb="35">
      <t>ハジ</t>
    </rPh>
    <rPh sb="54" eb="56">
      <t>ケンショウ</t>
    </rPh>
    <rPh sb="69" eb="70">
      <t>ミ</t>
    </rPh>
    <rPh sb="78" eb="79">
      <t>チガ</t>
    </rPh>
    <rPh sb="81" eb="83">
      <t>ケンショウ</t>
    </rPh>
    <rPh sb="121" eb="123">
      <t>ナイヨウ</t>
    </rPh>
    <rPh sb="140" eb="142">
      <t>ケッカ</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</si>
</sst>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quot;¥&quot;\-#,##0"/>
    <numFmt numFmtId="6" formatCode="&quot;¥&quot;#,##0;[Red]&quot;¥&quot;\-#,##0"/>
    <numFmt numFmtId="176" formatCode="_-* #,##0.00_-;\-* #,##0.00_-;_-* &quot;-&quot;??_-;_-@_-"/>
    <numFmt numFmtId="177" formatCode="0.00_ "/>
    <numFmt numFmtId="178" formatCode="0.0_);[Red]\(0.0\)"/>
    <numFmt numFmtId="179" formatCode="m/d;@"/>
    <numFmt numFmtId="180" formatCode="&quot;¥&quot;#,##0_);[Red]\(&quot;¥&quot;#,##0\)"/>
    <numFmt numFmtId="181" formatCode="0_);[Red]\(0\)"/>
    <numFmt numFmtId="182" formatCode="#,##0_ ;[Red]\-#,##0\ "/>
    <numFmt numFmtId="183" formatCode="0.0%"/>
    <numFmt numFmtId="184" formatCode="yyyy/m/d;@"/>
    <numFmt numFmtId="185" formatCode="#,##0_ "/>
    <numFmt numFmtId="186" formatCode="_-* #,##0_-;\-* #,##0_-;_-* &quot;-&quot;??_-;_-@_-"/>
    <numFmt numFmtId="187" formatCode="0.0000"/>
    <numFmt numFmtId="188" formatCode="0.00000"/>
    <numFmt numFmtId="189" formatCode="#,##0.0000_ "/>
    <numFmt numFmtId="190" formatCode="0_ "/>
    <numFmt numFmtId="191" formatCode="0.0000_ "/>
    <numFmt numFmtId="192" formatCode="0.00000_ "/>
    <numFmt numFmtId="193" formatCode="#,##0.00_ ;[Red]\-#,##0.00\ "/>
    <numFmt numFmtId="194" formatCode="0.00_);[Red]\(0.00\)"/>
    <numFmt numFmtId="195" formatCode="0.000"/>
    <numFmt numFmtId="196" formatCode="0.0"/>
  </numFmts>
  <fonts count="17">
    <font>
      <sz val="11"/>
      <color indexed="8"/>
      <name val="ＭＳ Ｐゴシック"/>
      <family val="3"/>
      <charset val="128"/>
    </font>
    <font>
      <sz val="11"/>
      <name val="ＭＳ Ｐゴシック"/>
      <family val="3"/>
      <charset val="128"/>
    </font>
    <font>
      <b/>
      <sz val="12"/>
      <color indexed="8"/>
      <name val="ＭＳ Ｐゴシック"/>
      <family val="3"/>
      <charset val="128"/>
    </font>
    <font>
      <sz val="12"/>
      <color indexed="8"/>
      <name val="ＭＳ Ｐゴシック"/>
      <family val="3"/>
      <charset val="128"/>
    </font>
    <font>
      <sz val="12"/>
      <name val="MS PGothic"/>
      <family val="3"/>
      <charset val="128"/>
    </font>
    <font>
      <sz val="9"/>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6"/>
      <name val="ＭＳ Ｐゴシック"/>
      <family val="3"/>
      <charset val="128"/>
    </font>
    <font>
      <sz val="11"/>
      <color indexed="8"/>
      <name val="メイリオ"/>
      <family val="3"/>
      <charset val="128"/>
    </font>
    <font>
      <sz val="11"/>
      <name val="メイリオ"/>
      <family val="3"/>
      <charset val="128"/>
    </font>
    <font>
      <sz val="10"/>
      <color indexed="8"/>
      <name val="メイリオ"/>
      <family val="3"/>
      <charset val="128"/>
    </font>
    <font>
      <sz val="11"/>
      <color theme="1"/>
      <name val="メイリオ"/>
      <family val="3"/>
      <charset val="128"/>
    </font>
    <font>
      <sz val="10"/>
      <color theme="1"/>
      <name val="メイリオ"/>
      <family val="3"/>
      <charset val="128"/>
    </font>
    <font>
      <u/>
      <sz val="11"/>
      <color indexed="8"/>
      <name val="メイリオ"/>
      <family val="3"/>
      <charset val="128"/>
    </font>
    <font>
      <sz val="11"/>
      <color rgb="FFFF0000"/>
      <name val="メイリオ"/>
      <family val="3"/>
      <charset val="128"/>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theme="8" tint="0.79998168889431442"/>
        <bgColor indexed="64"/>
      </patternFill>
    </fill>
    <fill>
      <patternFill patternType="solid">
        <fgColor rgb="FFCCCCFF"/>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lightUp">
        <bgColor theme="0" tint="-4.9989318521683403E-2"/>
      </patternFill>
    </fill>
    <fill>
      <patternFill patternType="solid">
        <fgColor theme="9" tint="0.39997558519241921"/>
        <bgColor indexed="64"/>
      </patternFill>
    </fill>
  </fills>
  <borders count="6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0"/>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5"/>
      </right>
      <top style="medium">
        <color indexed="64"/>
      </top>
      <bottom/>
      <diagonal/>
    </border>
    <border>
      <left style="dotted">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dotted">
        <color indexed="64"/>
      </left>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0"/>
      </bottom>
      <diagonal/>
    </border>
    <border>
      <left style="dashed">
        <color indexed="64"/>
      </left>
      <right style="dashed">
        <color indexed="64"/>
      </right>
      <top style="thin">
        <color indexed="64"/>
      </top>
      <bottom style="double">
        <color indexed="60"/>
      </bottom>
      <diagonal/>
    </border>
    <border>
      <left/>
      <right style="thin">
        <color indexed="64"/>
      </right>
      <top style="thin">
        <color indexed="64"/>
      </top>
      <bottom style="double">
        <color indexed="60"/>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double">
        <color indexed="60"/>
      </top>
      <bottom style="thin">
        <color indexed="64"/>
      </bottom>
      <diagonal/>
    </border>
    <border>
      <left style="dashed">
        <color indexed="64"/>
      </left>
      <right style="thin">
        <color indexed="64"/>
      </right>
      <top style="double">
        <color indexed="60"/>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ck">
        <color theme="1" tint="0.499984740745262"/>
      </left>
      <right/>
      <top style="thick">
        <color theme="1" tint="0.499984740745262"/>
      </top>
      <bottom style="thin">
        <color theme="1" tint="0.499984740745262"/>
      </bottom>
      <diagonal/>
    </border>
    <border>
      <left/>
      <right/>
      <top style="thick">
        <color theme="1" tint="0.499984740745262"/>
      </top>
      <bottom style="thin">
        <color theme="1" tint="0.499984740745262"/>
      </bottom>
      <diagonal/>
    </border>
    <border>
      <left/>
      <right style="thick">
        <color theme="1" tint="0.499984740745262"/>
      </right>
      <top style="thick">
        <color theme="1" tint="0.499984740745262"/>
      </top>
      <bottom style="thin">
        <color theme="1" tint="0.499984740745262"/>
      </bottom>
      <diagonal/>
    </border>
    <border>
      <left style="thick">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ck">
        <color theme="1" tint="0.499984740745262"/>
      </right>
      <top style="thin">
        <color theme="1" tint="0.499984740745262"/>
      </top>
      <bottom style="thin">
        <color theme="1" tint="0.499984740745262"/>
      </bottom>
      <diagonal/>
    </border>
    <border>
      <left style="thick">
        <color theme="1" tint="0.499984740745262"/>
      </left>
      <right/>
      <top style="thin">
        <color theme="1" tint="0.499984740745262"/>
      </top>
      <bottom style="thick">
        <color theme="1" tint="0.499984740745262"/>
      </bottom>
      <diagonal/>
    </border>
    <border>
      <left/>
      <right/>
      <top style="thin">
        <color theme="1" tint="0.499984740745262"/>
      </top>
      <bottom style="thick">
        <color theme="1" tint="0.499984740745262"/>
      </bottom>
      <diagonal/>
    </border>
    <border>
      <left/>
      <right style="thick">
        <color theme="1" tint="0.499984740745262"/>
      </right>
      <top style="thin">
        <color theme="1" tint="0.499984740745262"/>
      </top>
      <bottom style="thick">
        <color theme="1" tint="0.499984740745262"/>
      </bottom>
      <diagonal/>
    </border>
    <border>
      <left style="thick">
        <color rgb="FFFFC000"/>
      </left>
      <right/>
      <top style="thick">
        <color rgb="FFFFC000"/>
      </top>
      <bottom style="thick">
        <color rgb="FFFFC000"/>
      </bottom>
      <diagonal/>
    </border>
    <border>
      <left/>
      <right/>
      <top style="thick">
        <color rgb="FFFFC000"/>
      </top>
      <bottom style="thick">
        <color rgb="FFFFC000"/>
      </bottom>
      <diagonal/>
    </border>
    <border>
      <left/>
      <right style="thick">
        <color rgb="FFFFC000"/>
      </right>
      <top style="thick">
        <color rgb="FFFFC000"/>
      </top>
      <bottom style="thick">
        <color rgb="FFFFC000"/>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s>
  <cellStyleXfs count="5">
    <xf numFmtId="0" fontId="0" fillId="0" borderId="0">
      <alignment vertical="center"/>
    </xf>
    <xf numFmtId="9" fontId="8" fillId="0" borderId="0" applyFont="0" applyFill="0" applyBorder="0" applyAlignment="0" applyProtection="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cellStyleXfs>
  <cellXfs count="247">
    <xf numFmtId="0" fontId="0" fillId="0" borderId="0" xfId="0">
      <alignment vertical="center"/>
    </xf>
    <xf numFmtId="0" fontId="2" fillId="0" borderId="0" xfId="4" applyNumberFormat="1" applyFont="1" applyFill="1" applyBorder="1" applyAlignment="1" applyProtection="1">
      <alignment vertical="center"/>
    </xf>
    <xf numFmtId="0" fontId="2" fillId="2" borderId="11" xfId="4" applyNumberFormat="1" applyFont="1" applyFill="1" applyBorder="1" applyAlignment="1" applyProtection="1">
      <alignment vertical="center"/>
    </xf>
    <xf numFmtId="178" fontId="2" fillId="2" borderId="10" xfId="4" applyNumberFormat="1" applyFont="1" applyFill="1" applyBorder="1" applyAlignment="1" applyProtection="1">
      <alignment vertical="center"/>
    </xf>
    <xf numFmtId="9" fontId="2" fillId="0" borderId="12" xfId="4" applyNumberFormat="1" applyFont="1" applyFill="1" applyBorder="1" applyAlignment="1" applyProtection="1">
      <alignment horizontal="center" vertical="center"/>
    </xf>
    <xf numFmtId="5" fontId="2" fillId="0" borderId="7" xfId="4" applyNumberFormat="1" applyFont="1" applyFill="1" applyBorder="1" applyAlignment="1" applyProtection="1">
      <alignment horizontal="center" vertical="center"/>
    </xf>
    <xf numFmtId="5" fontId="2" fillId="0" borderId="0" xfId="4" applyNumberFormat="1" applyFont="1" applyFill="1" applyBorder="1" applyAlignment="1" applyProtection="1">
      <alignment horizontal="center" vertical="center"/>
    </xf>
    <xf numFmtId="6" fontId="2" fillId="2" borderId="10" xfId="4" applyNumberFormat="1" applyFont="1" applyFill="1" applyBorder="1" applyAlignment="1" applyProtection="1">
      <alignment vertical="center"/>
    </xf>
    <xf numFmtId="6" fontId="2" fillId="0" borderId="13" xfId="4"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55" fontId="3" fillId="0" borderId="5" xfId="4" applyNumberFormat="1" applyFont="1" applyFill="1" applyBorder="1" applyAlignment="1" applyProtection="1">
      <alignment horizontal="center" vertical="center"/>
    </xf>
    <xf numFmtId="55" fontId="0" fillId="0" borderId="5" xfId="0" applyNumberFormat="1" applyFont="1" applyFill="1" applyBorder="1" applyAlignment="1" applyProtection="1">
      <alignment horizontal="center" vertical="center"/>
    </xf>
    <xf numFmtId="55" fontId="3" fillId="0" borderId="14" xfId="4" applyNumberFormat="1" applyFont="1" applyFill="1" applyBorder="1" applyAlignment="1" applyProtection="1">
      <alignment horizontal="center" vertical="center"/>
    </xf>
    <xf numFmtId="0" fontId="2" fillId="2" borderId="15" xfId="4" applyNumberFormat="1" applyFont="1" applyFill="1" applyBorder="1" applyAlignment="1" applyProtection="1">
      <alignment horizontal="center" vertical="center"/>
    </xf>
    <xf numFmtId="0" fontId="2" fillId="2" borderId="16" xfId="4" applyNumberFormat="1" applyFont="1" applyFill="1" applyBorder="1" applyAlignment="1" applyProtection="1">
      <alignment horizontal="center" vertical="center" wrapText="1"/>
    </xf>
    <xf numFmtId="0" fontId="2" fillId="2" borderId="17" xfId="4" applyNumberFormat="1" applyFont="1" applyFill="1" applyBorder="1" applyAlignment="1" applyProtection="1">
      <alignment horizontal="center" vertical="center"/>
    </xf>
    <xf numFmtId="178" fontId="2" fillId="2" borderId="16" xfId="4" applyNumberFormat="1" applyFont="1" applyFill="1" applyBorder="1" applyAlignment="1" applyProtection="1">
      <alignment horizontal="center" vertical="center" wrapText="1"/>
    </xf>
    <xf numFmtId="179" fontId="2" fillId="2" borderId="16" xfId="4" applyNumberFormat="1" applyFont="1" applyFill="1" applyBorder="1" applyAlignment="1" applyProtection="1">
      <alignment horizontal="center" vertical="center"/>
    </xf>
    <xf numFmtId="0" fontId="2" fillId="2" borderId="18" xfId="4" applyNumberFormat="1" applyFont="1" applyFill="1" applyBorder="1" applyAlignment="1" applyProtection="1">
      <alignment horizontal="center" vertical="center" wrapText="1"/>
    </xf>
    <xf numFmtId="178" fontId="2" fillId="2" borderId="19" xfId="4" applyNumberFormat="1" applyFont="1" applyFill="1" applyBorder="1" applyAlignment="1" applyProtection="1">
      <alignment vertical="center"/>
    </xf>
    <xf numFmtId="180" fontId="2" fillId="2" borderId="20" xfId="4" applyNumberFormat="1" applyFont="1" applyFill="1" applyBorder="1" applyAlignment="1" applyProtection="1">
      <alignment horizontal="center" vertical="center"/>
    </xf>
    <xf numFmtId="180" fontId="3" fillId="0" borderId="21" xfId="4" applyNumberFormat="1" applyFont="1" applyFill="1" applyBorder="1" applyAlignment="1" applyProtection="1">
      <alignment horizontal="right" vertical="center"/>
    </xf>
    <xf numFmtId="180" fontId="3" fillId="0" borderId="22" xfId="4" applyNumberFormat="1" applyFont="1" applyFill="1" applyBorder="1" applyAlignment="1" applyProtection="1">
      <alignment horizontal="right" vertical="center"/>
    </xf>
    <xf numFmtId="181" fontId="3" fillId="0" borderId="22" xfId="4" applyNumberFormat="1" applyFont="1" applyFill="1" applyBorder="1" applyAlignment="1" applyProtection="1">
      <alignment horizontal="right" vertical="center"/>
    </xf>
    <xf numFmtId="182" fontId="3" fillId="0" borderId="22" xfId="4" applyNumberFormat="1" applyFont="1" applyFill="1" applyBorder="1" applyAlignment="1" applyProtection="1">
      <alignment horizontal="right" vertical="center"/>
    </xf>
    <xf numFmtId="183" fontId="3" fillId="0" borderId="22" xfId="4" applyNumberFormat="1" applyFont="1" applyFill="1" applyBorder="1" applyAlignment="1" applyProtection="1">
      <alignment vertical="center"/>
    </xf>
    <xf numFmtId="180" fontId="3" fillId="0" borderId="22" xfId="4" applyNumberFormat="1" applyFont="1" applyFill="1" applyBorder="1" applyAlignment="1" applyProtection="1">
      <alignment vertical="center"/>
    </xf>
    <xf numFmtId="177" fontId="3" fillId="0" borderId="22" xfId="4" applyNumberFormat="1" applyFont="1" applyFill="1" applyBorder="1" applyAlignment="1" applyProtection="1">
      <alignment vertical="center"/>
    </xf>
    <xf numFmtId="177" fontId="3" fillId="0" borderId="23" xfId="4" applyNumberFormat="1" applyFont="1" applyFill="1" applyBorder="1" applyAlignment="1" applyProtection="1">
      <alignment vertical="center"/>
    </xf>
    <xf numFmtId="180" fontId="0" fillId="0" borderId="21" xfId="0" applyNumberFormat="1" applyFont="1" applyFill="1" applyBorder="1" applyAlignment="1" applyProtection="1">
      <alignment vertical="center"/>
    </xf>
    <xf numFmtId="180" fontId="0" fillId="0" borderId="22" xfId="0" applyNumberFormat="1" applyFont="1" applyFill="1" applyBorder="1" applyAlignment="1" applyProtection="1">
      <alignment vertical="center"/>
    </xf>
    <xf numFmtId="0" fontId="0" fillId="0" borderId="22" xfId="0" applyNumberFormat="1" applyFont="1" applyFill="1" applyBorder="1" applyAlignment="1" applyProtection="1">
      <alignment vertical="center"/>
    </xf>
    <xf numFmtId="180" fontId="0" fillId="0" borderId="24" xfId="0" applyNumberFormat="1" applyFont="1" applyFill="1" applyBorder="1" applyAlignment="1" applyProtection="1">
      <alignment vertical="center"/>
    </xf>
    <xf numFmtId="180" fontId="0" fillId="0" borderId="25" xfId="0" applyNumberFormat="1" applyFont="1" applyFill="1" applyBorder="1" applyAlignment="1" applyProtection="1">
      <alignment vertical="center"/>
    </xf>
    <xf numFmtId="0" fontId="0" fillId="0" borderId="25" xfId="0" applyNumberFormat="1" applyFont="1" applyFill="1" applyBorder="1" applyAlignment="1" applyProtection="1">
      <alignment vertical="center"/>
    </xf>
    <xf numFmtId="181" fontId="3" fillId="0" borderId="25" xfId="4" applyNumberFormat="1" applyFont="1" applyFill="1" applyBorder="1" applyAlignment="1" applyProtection="1">
      <alignment horizontal="right" vertical="center"/>
    </xf>
    <xf numFmtId="183" fontId="3" fillId="0" borderId="25" xfId="4" applyNumberFormat="1" applyFont="1" applyFill="1" applyBorder="1" applyAlignment="1" applyProtection="1">
      <alignment vertical="center"/>
    </xf>
    <xf numFmtId="180" fontId="3" fillId="0" borderId="25" xfId="4" applyNumberFormat="1" applyFont="1" applyFill="1" applyBorder="1" applyAlignment="1" applyProtection="1">
      <alignment vertical="center"/>
    </xf>
    <xf numFmtId="177" fontId="3" fillId="0" borderId="25" xfId="4" applyNumberFormat="1" applyFont="1" applyFill="1" applyBorder="1" applyAlignment="1" applyProtection="1">
      <alignment vertical="center"/>
    </xf>
    <xf numFmtId="177" fontId="3" fillId="0" borderId="26" xfId="4" applyNumberFormat="1" applyFont="1" applyFill="1" applyBorder="1" applyAlignment="1" applyProtection="1">
      <alignment vertical="center"/>
    </xf>
    <xf numFmtId="6" fontId="3" fillId="0" borderId="22" xfId="4" applyNumberFormat="1" applyFont="1" applyFill="1" applyBorder="1" applyAlignment="1" applyProtection="1">
      <alignment horizontal="right" vertical="center"/>
    </xf>
    <xf numFmtId="6" fontId="3" fillId="0" borderId="25" xfId="4" applyNumberFormat="1" applyFont="1" applyFill="1" applyBorder="1" applyAlignment="1" applyProtection="1">
      <alignment horizontal="right" vertical="center"/>
    </xf>
    <xf numFmtId="55" fontId="0" fillId="0" borderId="4" xfId="0" applyNumberFormat="1" applyFont="1" applyFill="1" applyBorder="1" applyAlignment="1" applyProtection="1">
      <alignment horizontal="center" vertical="center"/>
    </xf>
    <xf numFmtId="5" fontId="1" fillId="0" borderId="27" xfId="0" applyNumberFormat="1" applyFont="1" applyFill="1" applyBorder="1" applyAlignment="1" applyProtection="1">
      <alignment vertical="center"/>
    </xf>
    <xf numFmtId="180" fontId="1" fillId="0" borderId="28" xfId="0" applyNumberFormat="1" applyFont="1" applyFill="1" applyBorder="1" applyAlignment="1" applyProtection="1">
      <alignment vertical="center"/>
    </xf>
    <xf numFmtId="6" fontId="1" fillId="0" borderId="28" xfId="0" applyNumberFormat="1" applyFont="1" applyFill="1" applyBorder="1" applyAlignment="1" applyProtection="1">
      <alignment vertical="center"/>
    </xf>
    <xf numFmtId="182" fontId="1" fillId="0" borderId="28" xfId="0" applyNumberFormat="1" applyFont="1" applyFill="1" applyBorder="1" applyAlignment="1" applyProtection="1">
      <alignment vertical="center"/>
    </xf>
    <xf numFmtId="181" fontId="1" fillId="0" borderId="28" xfId="0" applyNumberFormat="1" applyFont="1" applyFill="1" applyBorder="1" applyAlignment="1" applyProtection="1">
      <alignment vertical="center"/>
    </xf>
    <xf numFmtId="183" fontId="4" fillId="0" borderId="28" xfId="0" applyNumberFormat="1" applyFont="1" applyFill="1" applyBorder="1" applyAlignment="1" applyProtection="1">
      <alignment vertical="center"/>
    </xf>
    <xf numFmtId="177" fontId="1" fillId="0" borderId="29" xfId="0" applyNumberFormat="1" applyFont="1" applyFill="1" applyBorder="1" applyAlignment="1" applyProtection="1">
      <alignment vertical="center"/>
    </xf>
    <xf numFmtId="177" fontId="1" fillId="0" borderId="30" xfId="0" applyNumberFormat="1" applyFont="1" applyFill="1" applyBorder="1" applyAlignment="1" applyProtection="1">
      <alignment vertical="center"/>
    </xf>
    <xf numFmtId="0" fontId="0" fillId="0" borderId="31" xfId="0" applyNumberFormat="1" applyFont="1" applyFill="1" applyBorder="1" applyAlignment="1" applyProtection="1">
      <alignment vertical="center"/>
    </xf>
    <xf numFmtId="0" fontId="5" fillId="0" borderId="23" xfId="0" applyNumberFormat="1" applyFont="1" applyFill="1" applyBorder="1" applyAlignment="1" applyProtection="1">
      <alignment vertical="center"/>
    </xf>
    <xf numFmtId="0" fontId="2" fillId="3" borderId="0" xfId="4" applyNumberFormat="1" applyFont="1" applyFill="1" applyBorder="1" applyAlignment="1" applyProtection="1">
      <alignment vertical="center"/>
    </xf>
    <xf numFmtId="5" fontId="2" fillId="3" borderId="0" xfId="4" applyNumberFormat="1" applyFont="1" applyFill="1" applyBorder="1" applyAlignment="1" applyProtection="1">
      <alignment horizontal="center" vertical="center"/>
    </xf>
    <xf numFmtId="178" fontId="2" fillId="3" borderId="0" xfId="4" applyNumberFormat="1" applyFont="1" applyFill="1" applyBorder="1" applyAlignment="1" applyProtection="1">
      <alignment vertical="center"/>
    </xf>
    <xf numFmtId="6" fontId="2" fillId="3" borderId="0" xfId="4" applyNumberFormat="1" applyFont="1" applyFill="1" applyBorder="1" applyAlignment="1" applyProtection="1">
      <alignment vertical="center"/>
    </xf>
    <xf numFmtId="6" fontId="2" fillId="3" borderId="0" xfId="4" applyNumberFormat="1" applyFont="1" applyFill="1" applyBorder="1" applyAlignment="1" applyProtection="1">
      <alignment horizontal="center" vertical="center"/>
    </xf>
    <xf numFmtId="0" fontId="0" fillId="3" borderId="0" xfId="0" applyNumberFormat="1" applyFont="1" applyFill="1" applyBorder="1" applyAlignment="1" applyProtection="1">
      <alignment vertical="center"/>
    </xf>
    <xf numFmtId="0" fontId="2" fillId="3" borderId="32" xfId="4" applyNumberFormat="1" applyFont="1" applyFill="1" applyBorder="1" applyAlignment="1" applyProtection="1">
      <alignment vertical="center"/>
    </xf>
    <xf numFmtId="5" fontId="2" fillId="3" borderId="32" xfId="4" applyNumberFormat="1" applyFont="1" applyFill="1" applyBorder="1" applyAlignment="1" applyProtection="1">
      <alignment horizontal="center" vertical="center"/>
    </xf>
    <xf numFmtId="178" fontId="2" fillId="3" borderId="32" xfId="4" applyNumberFormat="1" applyFont="1" applyFill="1" applyBorder="1" applyAlignment="1" applyProtection="1">
      <alignment vertical="center"/>
    </xf>
    <xf numFmtId="6" fontId="2" fillId="3" borderId="32" xfId="4" applyNumberFormat="1" applyFont="1" applyFill="1" applyBorder="1" applyAlignment="1" applyProtection="1">
      <alignment vertical="center"/>
    </xf>
    <xf numFmtId="6" fontId="2" fillId="3" borderId="32" xfId="4" applyNumberFormat="1" applyFont="1" applyFill="1" applyBorder="1" applyAlignment="1" applyProtection="1">
      <alignment horizontal="center" vertical="center"/>
    </xf>
    <xf numFmtId="0" fontId="0" fillId="3" borderId="32" xfId="0" applyNumberFormat="1" applyFont="1" applyFill="1" applyBorder="1" applyAlignment="1" applyProtection="1">
      <alignment vertical="center"/>
    </xf>
    <xf numFmtId="0" fontId="0" fillId="0" borderId="32" xfId="0" applyNumberFormat="1" applyFont="1" applyFill="1" applyBorder="1" applyAlignment="1" applyProtection="1">
      <alignment vertical="center"/>
    </xf>
    <xf numFmtId="0" fontId="0" fillId="0" borderId="33" xfId="0" applyNumberFormat="1" applyFont="1" applyFill="1" applyBorder="1" applyAlignment="1" applyProtection="1">
      <alignment vertical="center"/>
    </xf>
    <xf numFmtId="5" fontId="3" fillId="4" borderId="33" xfId="4" applyNumberFormat="1" applyFont="1" applyFill="1" applyBorder="1" applyAlignment="1" applyProtection="1">
      <alignment horizontal="center"/>
    </xf>
    <xf numFmtId="5" fontId="2" fillId="0" borderId="33" xfId="4" applyNumberFormat="1" applyFont="1" applyFill="1" applyBorder="1" applyAlignment="1" applyProtection="1">
      <alignment horizontal="center" vertical="center"/>
    </xf>
    <xf numFmtId="0" fontId="2" fillId="0" borderId="33" xfId="4" applyNumberFormat="1" applyFont="1" applyFill="1" applyBorder="1" applyAlignment="1" applyProtection="1"/>
    <xf numFmtId="5" fontId="3" fillId="4" borderId="3" xfId="4" applyNumberFormat="1" applyFont="1" applyFill="1" applyBorder="1" applyAlignment="1" applyProtection="1">
      <alignment horizontal="center"/>
    </xf>
    <xf numFmtId="0" fontId="6" fillId="2" borderId="34" xfId="4" applyNumberFormat="1" applyFont="1" applyFill="1" applyBorder="1" applyAlignment="1" applyProtection="1">
      <alignment horizontal="center" vertical="center"/>
    </xf>
    <xf numFmtId="5" fontId="6" fillId="3" borderId="32" xfId="4" applyNumberFormat="1" applyFont="1" applyFill="1" applyBorder="1" applyAlignment="1" applyProtection="1">
      <alignment horizontal="center" vertical="center"/>
    </xf>
    <xf numFmtId="9" fontId="2" fillId="3" borderId="35" xfId="4" applyNumberFormat="1" applyFont="1" applyFill="1" applyBorder="1" applyAlignment="1" applyProtection="1">
      <alignment horizontal="center" vertical="center"/>
    </xf>
    <xf numFmtId="5" fontId="3" fillId="4" borderId="36" xfId="4" applyNumberFormat="1" applyFont="1" applyFill="1" applyBorder="1" applyAlignment="1" applyProtection="1">
      <alignment horizontal="center"/>
    </xf>
    <xf numFmtId="0" fontId="0" fillId="0" borderId="37" xfId="0" applyNumberFormat="1" applyFont="1" applyFill="1" applyBorder="1" applyAlignment="1" applyProtection="1">
      <alignment vertical="center"/>
    </xf>
    <xf numFmtId="0" fontId="0" fillId="0" borderId="38" xfId="0" applyNumberFormat="1" applyFont="1" applyFill="1" applyBorder="1" applyAlignment="1" applyProtection="1">
      <alignment vertical="center"/>
    </xf>
    <xf numFmtId="0" fontId="0" fillId="0" borderId="39" xfId="0" applyNumberFormat="1" applyFont="1" applyFill="1" applyBorder="1" applyAlignment="1" applyProtection="1">
      <alignment vertical="center"/>
    </xf>
    <xf numFmtId="0" fontId="2" fillId="2" borderId="10" xfId="4"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0" fillId="0" borderId="0" xfId="0" applyFont="1" applyAlignment="1">
      <alignment horizontal="center" vertical="center"/>
    </xf>
    <xf numFmtId="0" fontId="10" fillId="0" borderId="40" xfId="0" applyFont="1" applyFill="1" applyBorder="1" applyAlignment="1">
      <alignment horizontal="center" vertical="center"/>
    </xf>
    <xf numFmtId="0" fontId="11" fillId="0" borderId="2" xfId="0" applyFont="1" applyFill="1" applyBorder="1" applyAlignment="1">
      <alignment horizontal="center" vertical="center"/>
    </xf>
    <xf numFmtId="185" fontId="11" fillId="0" borderId="2" xfId="0" applyNumberFormat="1" applyFont="1" applyFill="1" applyBorder="1" applyAlignment="1">
      <alignment horizontal="center" vertical="center"/>
    </xf>
    <xf numFmtId="179" fontId="11" fillId="0" borderId="2" xfId="0" applyNumberFormat="1" applyFont="1" applyFill="1" applyBorder="1" applyAlignment="1">
      <alignment horizontal="center" vertical="center"/>
    </xf>
    <xf numFmtId="188" fontId="11" fillId="0" borderId="2" xfId="0" applyNumberFormat="1" applyFont="1" applyFill="1" applyBorder="1" applyAlignment="1">
      <alignment horizontal="right" vertical="center"/>
    </xf>
    <xf numFmtId="190" fontId="11" fillId="0" borderId="2" xfId="0" applyNumberFormat="1" applyFont="1" applyFill="1" applyBorder="1" applyAlignment="1">
      <alignment horizontal="center" vertical="center"/>
    </xf>
    <xf numFmtId="182" fontId="11" fillId="0" borderId="2" xfId="0" applyNumberFormat="1" applyFont="1" applyFill="1" applyBorder="1" applyAlignment="1">
      <alignment horizontal="center" vertical="center"/>
    </xf>
    <xf numFmtId="0" fontId="13" fillId="5" borderId="2" xfId="0" applyFont="1" applyFill="1" applyBorder="1" applyAlignment="1">
      <alignment horizontal="center" vertical="center"/>
    </xf>
    <xf numFmtId="0" fontId="13" fillId="6" borderId="2" xfId="0" applyFont="1" applyFill="1" applyBorder="1" applyAlignment="1">
      <alignment horizontal="center" vertical="center" shrinkToFit="1"/>
    </xf>
    <xf numFmtId="0" fontId="13" fillId="7" borderId="2" xfId="0" applyFont="1" applyFill="1" applyBorder="1" applyAlignment="1">
      <alignment horizontal="center" vertical="center" shrinkToFit="1"/>
    </xf>
    <xf numFmtId="0" fontId="13" fillId="7" borderId="5" xfId="0" applyFont="1" applyFill="1" applyBorder="1" applyAlignment="1">
      <alignment horizontal="center" vertical="center" shrinkToFit="1"/>
    </xf>
    <xf numFmtId="0" fontId="13" fillId="8" borderId="2" xfId="0" applyFont="1" applyFill="1" applyBorder="1" applyAlignment="1">
      <alignment horizontal="center" vertical="center" shrinkToFit="1"/>
    </xf>
    <xf numFmtId="0" fontId="13" fillId="9" borderId="2" xfId="0" applyFont="1" applyFill="1" applyBorder="1" applyAlignment="1">
      <alignment horizontal="center" vertical="center" shrinkToFit="1"/>
    </xf>
    <xf numFmtId="0" fontId="13" fillId="9" borderId="5" xfId="0" applyFont="1" applyFill="1" applyBorder="1" applyAlignment="1">
      <alignment horizontal="center" vertical="center" shrinkToFit="1"/>
    </xf>
    <xf numFmtId="0" fontId="13" fillId="9" borderId="8" xfId="0" applyFont="1" applyFill="1" applyBorder="1" applyAlignment="1">
      <alignment horizontal="center" vertical="center" shrinkToFit="1"/>
    </xf>
    <xf numFmtId="0" fontId="13" fillId="8" borderId="5" xfId="0" applyFont="1" applyFill="1" applyBorder="1" applyAlignment="1">
      <alignment horizontal="center" vertical="center" shrinkToFit="1"/>
    </xf>
    <xf numFmtId="0" fontId="10" fillId="0" borderId="0" xfId="0" applyFont="1" applyBorder="1" applyAlignment="1">
      <alignment horizontal="center" vertical="center"/>
    </xf>
    <xf numFmtId="185" fontId="11" fillId="0" borderId="2" xfId="0" applyNumberFormat="1" applyFont="1" applyFill="1" applyBorder="1" applyAlignment="1">
      <alignment horizontal="right" vertical="center"/>
    </xf>
    <xf numFmtId="189" fontId="11" fillId="0" borderId="2" xfId="0" applyNumberFormat="1" applyFont="1" applyFill="1" applyBorder="1" applyAlignment="1">
      <alignment horizontal="right" vertical="center"/>
    </xf>
    <xf numFmtId="190" fontId="11" fillId="0" borderId="2" xfId="0" applyNumberFormat="1" applyFont="1" applyFill="1" applyBorder="1" applyAlignment="1">
      <alignment horizontal="right" vertical="center"/>
    </xf>
    <xf numFmtId="188" fontId="11" fillId="0" borderId="2" xfId="0" applyNumberFormat="1" applyFont="1" applyFill="1" applyBorder="1" applyAlignment="1">
      <alignment vertical="center"/>
    </xf>
    <xf numFmtId="1" fontId="11" fillId="0" borderId="2" xfId="0" applyNumberFormat="1" applyFont="1" applyFill="1" applyBorder="1" applyAlignment="1">
      <alignment horizontal="right" vertical="center"/>
    </xf>
    <xf numFmtId="185" fontId="10" fillId="0" borderId="2" xfId="0" applyNumberFormat="1" applyFont="1" applyBorder="1" applyAlignment="1">
      <alignment vertical="center"/>
    </xf>
    <xf numFmtId="0" fontId="10" fillId="5" borderId="2" xfId="0" applyFont="1" applyFill="1" applyBorder="1" applyAlignment="1">
      <alignment horizontal="center" vertical="center"/>
    </xf>
    <xf numFmtId="0" fontId="13" fillId="0" borderId="2" xfId="0" applyFont="1" applyFill="1" applyBorder="1" applyAlignment="1">
      <alignment vertical="center"/>
    </xf>
    <xf numFmtId="0" fontId="10" fillId="0" borderId="0" xfId="0" applyFont="1" applyAlignment="1">
      <alignment horizontal="right" vertical="center"/>
    </xf>
    <xf numFmtId="0" fontId="13" fillId="0" borderId="32"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9" xfId="0" applyFont="1" applyBorder="1" applyAlignment="1">
      <alignment horizontal="center" vertical="center"/>
    </xf>
    <xf numFmtId="192" fontId="11" fillId="0" borderId="2" xfId="0" applyNumberFormat="1" applyFont="1" applyFill="1" applyBorder="1" applyAlignment="1">
      <alignment horizontal="right" vertical="center"/>
    </xf>
    <xf numFmtId="186" fontId="11" fillId="0" borderId="2" xfId="2" applyNumberFormat="1" applyFont="1" applyFill="1" applyBorder="1" applyAlignment="1">
      <alignment horizontal="right" vertical="center"/>
    </xf>
    <xf numFmtId="0" fontId="13" fillId="0" borderId="0" xfId="0" applyFont="1" applyFill="1" applyBorder="1" applyAlignment="1">
      <alignment vertical="center"/>
    </xf>
    <xf numFmtId="0" fontId="10" fillId="5" borderId="23" xfId="0" applyFont="1" applyFill="1" applyBorder="1" applyAlignment="1">
      <alignment horizontal="center" vertical="center"/>
    </xf>
    <xf numFmtId="0" fontId="10" fillId="0" borderId="9" xfId="0" applyFont="1" applyBorder="1" applyAlignment="1">
      <alignment horizontal="center" vertical="center"/>
    </xf>
    <xf numFmtId="0" fontId="10" fillId="0" borderId="31" xfId="0" applyFont="1" applyBorder="1" applyAlignment="1">
      <alignment horizontal="center" vertical="center"/>
    </xf>
    <xf numFmtId="0" fontId="10" fillId="0" borderId="41" xfId="0" applyFont="1" applyBorder="1" applyAlignment="1">
      <alignment horizontal="center" vertical="center"/>
    </xf>
    <xf numFmtId="9" fontId="13" fillId="0" borderId="2" xfId="1" applyFont="1" applyFill="1" applyBorder="1" applyAlignment="1">
      <alignment horizontal="right" vertical="center"/>
    </xf>
    <xf numFmtId="185" fontId="10" fillId="0" borderId="2" xfId="0" applyNumberFormat="1" applyFont="1" applyBorder="1" applyAlignment="1">
      <alignment horizontal="right" vertical="center"/>
    </xf>
    <xf numFmtId="0" fontId="10" fillId="10" borderId="43" xfId="0" applyFont="1" applyFill="1" applyBorder="1" applyAlignment="1">
      <alignment horizontal="center" vertical="center"/>
    </xf>
    <xf numFmtId="0" fontId="10" fillId="0" borderId="1" xfId="0" applyFont="1" applyBorder="1" applyAlignment="1">
      <alignment horizontal="center" vertical="center"/>
    </xf>
    <xf numFmtId="0" fontId="11" fillId="10" borderId="42"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xf>
    <xf numFmtId="181" fontId="11" fillId="0" borderId="2" xfId="0" applyNumberFormat="1" applyFont="1" applyFill="1" applyBorder="1" applyAlignment="1">
      <alignment horizontal="center" vertical="center"/>
    </xf>
    <xf numFmtId="176" fontId="10" fillId="0" borderId="2" xfId="2" applyFont="1" applyBorder="1" applyAlignment="1">
      <alignment horizontal="right" vertical="center"/>
    </xf>
    <xf numFmtId="176" fontId="10" fillId="0" borderId="2" xfId="2" applyFont="1" applyBorder="1" applyAlignment="1">
      <alignment horizontal="center" vertical="center"/>
    </xf>
    <xf numFmtId="186" fontId="10" fillId="0" borderId="2" xfId="2" applyNumberFormat="1" applyFont="1" applyBorder="1" applyAlignment="1">
      <alignment horizontal="right" vertical="center"/>
    </xf>
    <xf numFmtId="187" fontId="11" fillId="0" borderId="2" xfId="0" applyNumberFormat="1" applyFont="1" applyFill="1" applyBorder="1" applyAlignment="1">
      <alignment horizontal="right" vertical="center"/>
    </xf>
    <xf numFmtId="185" fontId="10" fillId="0" borderId="2" xfId="2" applyNumberFormat="1" applyFont="1" applyBorder="1" applyAlignment="1">
      <alignment horizontal="right" vertical="center"/>
    </xf>
    <xf numFmtId="186" fontId="10" fillId="0" borderId="2" xfId="2" applyNumberFormat="1" applyFont="1" applyBorder="1" applyAlignment="1">
      <alignment horizontal="center" vertical="center"/>
    </xf>
    <xf numFmtId="0" fontId="0" fillId="0" borderId="0" xfId="0" applyAlignment="1">
      <alignment vertical="top"/>
    </xf>
    <xf numFmtId="186" fontId="10" fillId="0" borderId="2" xfId="2" applyNumberFormat="1" applyFont="1" applyBorder="1" applyAlignment="1">
      <alignment vertical="center"/>
    </xf>
    <xf numFmtId="194" fontId="10" fillId="0" borderId="2" xfId="2" applyNumberFormat="1" applyFont="1" applyBorder="1" applyAlignment="1">
      <alignment horizontal="right" vertical="center"/>
    </xf>
    <xf numFmtId="191" fontId="11" fillId="0" borderId="2" xfId="0" applyNumberFormat="1" applyFont="1" applyFill="1" applyBorder="1" applyAlignment="1">
      <alignment horizontal="right" vertical="center"/>
    </xf>
    <xf numFmtId="193" fontId="10" fillId="0" borderId="2" xfId="2" applyNumberFormat="1" applyFont="1" applyBorder="1" applyAlignment="1">
      <alignment horizontal="right" vertical="center"/>
    </xf>
    <xf numFmtId="182" fontId="10" fillId="0" borderId="2" xfId="2" applyNumberFormat="1" applyFont="1" applyBorder="1" applyAlignment="1">
      <alignment horizontal="right" vertical="center"/>
    </xf>
    <xf numFmtId="182" fontId="11" fillId="0" borderId="2" xfId="2" applyNumberFormat="1" applyFont="1" applyFill="1" applyBorder="1" applyAlignment="1">
      <alignment horizontal="right" vertical="center"/>
    </xf>
    <xf numFmtId="0" fontId="10" fillId="0" borderId="2" xfId="0" applyNumberFormat="1" applyFont="1" applyFill="1" applyBorder="1" applyAlignment="1" applyProtection="1">
      <alignment horizontal="center" vertical="center"/>
    </xf>
    <xf numFmtId="0" fontId="10" fillId="0" borderId="2" xfId="0" applyFont="1" applyBorder="1" applyAlignment="1">
      <alignment horizontal="center" vertical="center"/>
    </xf>
    <xf numFmtId="0" fontId="10" fillId="0" borderId="43" xfId="0" applyNumberFormat="1" applyFont="1" applyFill="1" applyBorder="1" applyAlignment="1" applyProtection="1">
      <alignment horizontal="center" vertical="center"/>
    </xf>
    <xf numFmtId="0" fontId="11" fillId="11" borderId="2" xfId="0" applyFont="1" applyFill="1" applyBorder="1" applyAlignment="1">
      <alignment horizontal="center" vertical="center"/>
    </xf>
    <xf numFmtId="185" fontId="11" fillId="11" borderId="2" xfId="0" applyNumberFormat="1" applyFont="1" applyFill="1" applyBorder="1" applyAlignment="1">
      <alignment horizontal="right" vertical="center"/>
    </xf>
    <xf numFmtId="185" fontId="11" fillId="11" borderId="2" xfId="0" applyNumberFormat="1" applyFont="1" applyFill="1" applyBorder="1" applyAlignment="1">
      <alignment horizontal="center" vertical="center"/>
    </xf>
    <xf numFmtId="179" fontId="11" fillId="11" borderId="2" xfId="0" applyNumberFormat="1" applyFont="1" applyFill="1" applyBorder="1" applyAlignment="1">
      <alignment horizontal="center" vertical="center"/>
    </xf>
    <xf numFmtId="188" fontId="11" fillId="11" borderId="2" xfId="0" applyNumberFormat="1" applyFont="1" applyFill="1" applyBorder="1" applyAlignment="1">
      <alignment horizontal="right" vertical="center"/>
    </xf>
    <xf numFmtId="1" fontId="11" fillId="11" borderId="2" xfId="0" applyNumberFormat="1" applyFont="1" applyFill="1" applyBorder="1" applyAlignment="1">
      <alignment horizontal="right" vertical="center"/>
    </xf>
    <xf numFmtId="189" fontId="11" fillId="11" borderId="2" xfId="0" applyNumberFormat="1" applyFont="1" applyFill="1" applyBorder="1" applyAlignment="1">
      <alignment horizontal="right" vertical="center"/>
    </xf>
    <xf numFmtId="186" fontId="11" fillId="11" borderId="2" xfId="2" applyNumberFormat="1" applyFont="1" applyFill="1" applyBorder="1" applyAlignment="1">
      <alignment horizontal="right" vertical="center"/>
    </xf>
    <xf numFmtId="190" fontId="11" fillId="11" borderId="2" xfId="0" applyNumberFormat="1" applyFont="1" applyFill="1" applyBorder="1" applyAlignment="1">
      <alignment horizontal="center" vertical="center"/>
    </xf>
    <xf numFmtId="192" fontId="11" fillId="11" borderId="2" xfId="0" applyNumberFormat="1" applyFont="1" applyFill="1" applyBorder="1" applyAlignment="1">
      <alignment horizontal="right" vertical="center"/>
    </xf>
    <xf numFmtId="181" fontId="11" fillId="11" borderId="2" xfId="0" applyNumberFormat="1" applyFont="1" applyFill="1" applyBorder="1" applyAlignment="1">
      <alignment horizontal="center" vertical="center"/>
    </xf>
    <xf numFmtId="188" fontId="11" fillId="11" borderId="2" xfId="0" applyNumberFormat="1" applyFont="1" applyFill="1" applyBorder="1" applyAlignment="1">
      <alignment vertical="center"/>
    </xf>
    <xf numFmtId="182" fontId="11" fillId="11" borderId="2" xfId="0" applyNumberFormat="1" applyFont="1" applyFill="1" applyBorder="1" applyAlignment="1">
      <alignment horizontal="center" vertical="center"/>
    </xf>
    <xf numFmtId="176" fontId="10" fillId="11" borderId="2" xfId="2" applyFont="1" applyFill="1" applyBorder="1" applyAlignment="1">
      <alignment horizontal="center" vertical="center"/>
    </xf>
    <xf numFmtId="0" fontId="10" fillId="0" borderId="2" xfId="0" applyFont="1" applyBorder="1" applyAlignment="1">
      <alignment horizontal="center" vertical="center"/>
    </xf>
    <xf numFmtId="0" fontId="10" fillId="0" borderId="43" xfId="0" applyFont="1" applyBorder="1" applyAlignment="1">
      <alignment horizontal="center" vertical="center"/>
    </xf>
    <xf numFmtId="0" fontId="10" fillId="10" borderId="2" xfId="0" applyFont="1" applyFill="1" applyBorder="1" applyAlignment="1">
      <alignment horizontal="center" vertical="center"/>
    </xf>
    <xf numFmtId="0" fontId="10" fillId="0" borderId="8" xfId="0" applyFont="1" applyBorder="1" applyAlignment="1">
      <alignment horizontal="center" vertical="center"/>
    </xf>
    <xf numFmtId="195" fontId="11" fillId="0" borderId="2" xfId="0" applyNumberFormat="1" applyFont="1" applyFill="1" applyBorder="1" applyAlignment="1">
      <alignment horizontal="right" vertical="center"/>
    </xf>
    <xf numFmtId="0" fontId="10" fillId="0" borderId="0" xfId="0" applyFont="1" applyAlignment="1">
      <alignment horizontal="left" vertical="center"/>
    </xf>
    <xf numFmtId="185" fontId="10" fillId="0" borderId="43" xfId="0" applyNumberFormat="1" applyFont="1" applyBorder="1" applyAlignment="1">
      <alignment horizontal="center" vertical="center"/>
    </xf>
    <xf numFmtId="185" fontId="10" fillId="0" borderId="2" xfId="0" applyNumberFormat="1" applyFont="1" applyBorder="1" applyAlignment="1">
      <alignment horizontal="center" vertical="center"/>
    </xf>
    <xf numFmtId="0" fontId="10" fillId="10" borderId="5" xfId="0" applyFont="1" applyFill="1" applyBorder="1" applyAlignment="1">
      <alignment horizontal="center" vertical="center"/>
    </xf>
    <xf numFmtId="0" fontId="10" fillId="10" borderId="23" xfId="0" applyFont="1" applyFill="1" applyBorder="1" applyAlignment="1">
      <alignment horizontal="center" vertical="center"/>
    </xf>
    <xf numFmtId="185" fontId="10" fillId="0" borderId="5" xfId="0" applyNumberFormat="1" applyFont="1" applyBorder="1" applyAlignment="1">
      <alignment horizontal="center" vertical="center"/>
    </xf>
    <xf numFmtId="0" fontId="10" fillId="0" borderId="59" xfId="0" applyFont="1" applyBorder="1" applyAlignment="1">
      <alignment horizontal="center" vertical="center"/>
    </xf>
    <xf numFmtId="0" fontId="10" fillId="0" borderId="23" xfId="0" applyFont="1" applyBorder="1" applyAlignment="1">
      <alignment horizontal="center" vertical="center"/>
    </xf>
    <xf numFmtId="0" fontId="10" fillId="0" borderId="60" xfId="0" applyFont="1" applyBorder="1" applyAlignment="1">
      <alignment horizontal="center" vertical="center"/>
    </xf>
    <xf numFmtId="0" fontId="10" fillId="10" borderId="61" xfId="0" applyFont="1" applyFill="1" applyBorder="1" applyAlignment="1">
      <alignment horizontal="center" vertical="center"/>
    </xf>
    <xf numFmtId="185" fontId="10" fillId="0" borderId="62" xfId="0" applyNumberFormat="1" applyFont="1" applyBorder="1" applyAlignment="1">
      <alignment horizontal="center" vertical="center"/>
    </xf>
    <xf numFmtId="185" fontId="10" fillId="0" borderId="63" xfId="0" applyNumberFormat="1" applyFont="1" applyBorder="1" applyAlignment="1">
      <alignment horizontal="center" vertical="center"/>
    </xf>
    <xf numFmtId="0" fontId="10" fillId="0" borderId="58" xfId="0" applyFont="1" applyBorder="1" applyAlignment="1">
      <alignment horizontal="center" vertical="center"/>
    </xf>
    <xf numFmtId="193" fontId="10" fillId="0" borderId="0" xfId="0" applyNumberFormat="1" applyFont="1" applyAlignment="1">
      <alignment horizontal="right" vertical="center"/>
    </xf>
    <xf numFmtId="193" fontId="16" fillId="0" borderId="2" xfId="2" applyNumberFormat="1" applyFont="1" applyBorder="1" applyAlignment="1">
      <alignment horizontal="right" vertical="center"/>
    </xf>
    <xf numFmtId="0" fontId="10" fillId="0" borderId="0" xfId="0" applyFont="1" applyAlignment="1">
      <alignment vertical="center"/>
    </xf>
    <xf numFmtId="0" fontId="10" fillId="0" borderId="2" xfId="0" applyFont="1" applyBorder="1" applyAlignment="1">
      <alignment horizontal="center" vertical="center"/>
    </xf>
    <xf numFmtId="185" fontId="11" fillId="12" borderId="2" xfId="0" applyNumberFormat="1" applyFont="1" applyFill="1" applyBorder="1" applyAlignment="1">
      <alignment horizontal="center" vertical="center"/>
    </xf>
    <xf numFmtId="181" fontId="10" fillId="0" borderId="2" xfId="2" applyNumberFormat="1" applyFont="1" applyBorder="1" applyAlignment="1">
      <alignment horizontal="center" vertical="center"/>
    </xf>
    <xf numFmtId="0" fontId="13" fillId="0" borderId="32" xfId="0" applyFont="1" applyFill="1" applyBorder="1" applyAlignment="1">
      <alignment vertical="center"/>
    </xf>
    <xf numFmtId="0" fontId="10" fillId="12"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left" vertical="center"/>
    </xf>
    <xf numFmtId="196" fontId="10" fillId="0" borderId="2" xfId="0" applyNumberFormat="1" applyFont="1" applyBorder="1" applyAlignment="1">
      <alignment horizontal="center" vertical="center"/>
    </xf>
    <xf numFmtId="0" fontId="11" fillId="10" borderId="42" xfId="0" applyNumberFormat="1" applyFont="1" applyFill="1" applyBorder="1" applyAlignment="1" applyProtection="1">
      <alignment horizontal="center" vertical="center"/>
    </xf>
    <xf numFmtId="196" fontId="10" fillId="0" borderId="1" xfId="0" applyNumberFormat="1" applyFont="1" applyBorder="1" applyAlignment="1">
      <alignment horizontal="center" vertical="center"/>
    </xf>
    <xf numFmtId="196" fontId="10" fillId="0" borderId="43" xfId="0" applyNumberFormat="1" applyFont="1" applyBorder="1" applyAlignment="1">
      <alignment horizontal="center" vertical="center"/>
    </xf>
    <xf numFmtId="0" fontId="11" fillId="10" borderId="2"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xf>
    <xf numFmtId="0" fontId="10" fillId="10" borderId="43" xfId="0" applyNumberFormat="1" applyFont="1" applyFill="1" applyBorder="1" applyAlignment="1" applyProtection="1">
      <alignment horizontal="center" vertical="center"/>
    </xf>
    <xf numFmtId="196" fontId="10" fillId="0" borderId="8" xfId="0" applyNumberFormat="1" applyFont="1" applyBorder="1" applyAlignment="1">
      <alignment horizontal="center" vertical="center"/>
    </xf>
    <xf numFmtId="0" fontId="13" fillId="5" borderId="1" xfId="0" applyFont="1" applyFill="1" applyBorder="1" applyAlignment="1">
      <alignment horizontal="center" vertical="center" shrinkToFit="1"/>
    </xf>
    <xf numFmtId="0" fontId="13" fillId="5" borderId="2" xfId="0" applyFont="1" applyFill="1" applyBorder="1" applyAlignment="1">
      <alignment horizontal="center" vertical="center" shrinkToFit="1"/>
    </xf>
    <xf numFmtId="0" fontId="13" fillId="9" borderId="2" xfId="0" applyFont="1" applyFill="1" applyBorder="1" applyAlignment="1">
      <alignment horizontal="center" vertical="center" wrapText="1" shrinkToFit="1"/>
    </xf>
    <xf numFmtId="0" fontId="13" fillId="9" borderId="2" xfId="0" applyFont="1" applyFill="1" applyBorder="1" applyAlignment="1">
      <alignment horizontal="center" vertical="center" shrinkToFit="1"/>
    </xf>
    <xf numFmtId="0" fontId="11" fillId="10" borderId="42" xfId="0" applyFont="1"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3" fillId="7" borderId="5" xfId="0" applyFont="1" applyFill="1" applyBorder="1" applyAlignment="1">
      <alignment horizontal="center" vertical="center" shrinkToFit="1"/>
    </xf>
    <xf numFmtId="0" fontId="13" fillId="7" borderId="35" xfId="0" applyFont="1" applyFill="1" applyBorder="1" applyAlignment="1">
      <alignment horizontal="center" vertical="center" shrinkToFit="1"/>
    </xf>
    <xf numFmtId="0" fontId="13" fillId="5" borderId="9" xfId="0" applyFont="1" applyFill="1" applyBorder="1" applyAlignment="1">
      <alignment horizontal="center" vertical="center" shrinkToFit="1"/>
    </xf>
    <xf numFmtId="0" fontId="13" fillId="5" borderId="4" xfId="0" applyFont="1" applyFill="1" applyBorder="1" applyAlignment="1">
      <alignment horizontal="center" vertical="center" shrinkToFit="1"/>
    </xf>
    <xf numFmtId="0" fontId="13" fillId="5" borderId="8" xfId="0" applyFont="1" applyFill="1" applyBorder="1" applyAlignment="1">
      <alignment horizontal="center" vertical="center" wrapText="1" shrinkToFit="1"/>
    </xf>
    <xf numFmtId="0" fontId="13" fillId="9" borderId="8" xfId="0" applyFont="1" applyFill="1" applyBorder="1" applyAlignment="1">
      <alignment horizontal="center" vertical="center" wrapText="1" shrinkToFit="1"/>
    </xf>
    <xf numFmtId="0" fontId="13" fillId="9" borderId="1" xfId="0" applyFont="1" applyFill="1" applyBorder="1" applyAlignment="1">
      <alignment horizontal="center" vertical="center" shrinkToFit="1"/>
    </xf>
    <xf numFmtId="0" fontId="10" fillId="10" borderId="2" xfId="0" applyFont="1" applyFill="1" applyBorder="1" applyAlignment="1">
      <alignment horizontal="center" vertical="center"/>
    </xf>
    <xf numFmtId="0" fontId="10" fillId="10" borderId="8" xfId="0" applyFont="1" applyFill="1" applyBorder="1" applyAlignment="1">
      <alignment horizontal="center" vertical="center"/>
    </xf>
    <xf numFmtId="0" fontId="10" fillId="10" borderId="1"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23" xfId="0" applyFont="1" applyFill="1" applyBorder="1" applyAlignment="1">
      <alignment horizontal="center" vertical="center"/>
    </xf>
    <xf numFmtId="0" fontId="13" fillId="6" borderId="2" xfId="0" applyFont="1" applyFill="1" applyBorder="1" applyAlignment="1">
      <alignment horizontal="center" vertical="center" shrinkToFit="1"/>
    </xf>
    <xf numFmtId="0" fontId="10" fillId="0" borderId="32" xfId="0" applyFont="1" applyFill="1" applyBorder="1" applyAlignment="1">
      <alignment horizontal="center" vertical="center"/>
    </xf>
    <xf numFmtId="0" fontId="10" fillId="0" borderId="35" xfId="0" applyFont="1" applyFill="1" applyBorder="1" applyAlignment="1">
      <alignment horizontal="center" vertical="center"/>
    </xf>
    <xf numFmtId="0" fontId="13" fillId="0" borderId="32" xfId="0" applyFont="1" applyFill="1" applyBorder="1" applyAlignment="1">
      <alignment horizontal="center" vertical="center"/>
    </xf>
    <xf numFmtId="0" fontId="13" fillId="9" borderId="5" xfId="0" applyFont="1" applyFill="1" applyBorder="1" applyAlignment="1">
      <alignment horizontal="center" vertical="center" shrinkToFit="1"/>
    </xf>
    <xf numFmtId="0" fontId="13" fillId="9" borderId="35" xfId="0" applyFont="1" applyFill="1" applyBorder="1" applyAlignment="1">
      <alignment horizontal="center" vertical="center" shrinkToFit="1"/>
    </xf>
    <xf numFmtId="0" fontId="13" fillId="8" borderId="4" xfId="0" applyFont="1" applyFill="1" applyBorder="1" applyAlignment="1">
      <alignment horizontal="center" vertical="center" shrinkToFit="1"/>
    </xf>
    <xf numFmtId="0" fontId="13" fillId="8" borderId="35" xfId="0" applyFont="1" applyFill="1" applyBorder="1" applyAlignment="1">
      <alignment horizontal="center" vertical="center" shrinkToFit="1"/>
    </xf>
    <xf numFmtId="0" fontId="13" fillId="9" borderId="5" xfId="0" applyFont="1" applyFill="1" applyBorder="1" applyAlignment="1">
      <alignment horizontal="center" vertical="center" wrapText="1" shrinkToFit="1"/>
    </xf>
    <xf numFmtId="0" fontId="13" fillId="9" borderId="35" xfId="0" applyFont="1" applyFill="1" applyBorder="1" applyAlignment="1">
      <alignment horizontal="center" vertical="center" wrapText="1" shrinkToFit="1"/>
    </xf>
    <xf numFmtId="0" fontId="13" fillId="9" borderId="23" xfId="0" applyFont="1" applyFill="1" applyBorder="1" applyAlignment="1">
      <alignment horizontal="center" vertical="center" wrapText="1" shrinkToFit="1"/>
    </xf>
    <xf numFmtId="0" fontId="10" fillId="5" borderId="2"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23" xfId="0" applyFont="1" applyFill="1" applyBorder="1" applyAlignment="1">
      <alignment horizontal="center" vertical="center"/>
    </xf>
    <xf numFmtId="0" fontId="12" fillId="5" borderId="2" xfId="0" applyFont="1" applyFill="1" applyBorder="1" applyAlignment="1">
      <alignment horizontal="right" vertical="center"/>
    </xf>
    <xf numFmtId="0" fontId="10" fillId="0" borderId="55" xfId="0" applyFont="1" applyBorder="1" applyAlignment="1">
      <alignment horizontal="left" vertical="top" wrapText="1"/>
    </xf>
    <xf numFmtId="0" fontId="10" fillId="0" borderId="56" xfId="0" applyFont="1" applyBorder="1" applyAlignment="1">
      <alignment horizontal="left" vertical="top"/>
    </xf>
    <xf numFmtId="0" fontId="10" fillId="0" borderId="57" xfId="0" applyFont="1" applyBorder="1" applyAlignment="1">
      <alignment horizontal="left" vertical="top"/>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8" xfId="0" applyFont="1" applyBorder="1" applyAlignment="1">
      <alignment horizontal="left" vertical="top" wrapText="1"/>
    </xf>
    <xf numFmtId="0" fontId="10" fillId="0" borderId="49" xfId="0" applyFont="1" applyBorder="1" applyAlignment="1">
      <alignment horizontal="left" vertical="top" wrapText="1"/>
    </xf>
    <xf numFmtId="0" fontId="10" fillId="0" borderId="50" xfId="0" applyFont="1" applyBorder="1" applyAlignment="1">
      <alignment horizontal="left" vertical="top" wrapText="1"/>
    </xf>
    <xf numFmtId="0" fontId="10" fillId="0" borderId="51" xfId="0" applyFont="1" applyBorder="1" applyAlignment="1">
      <alignment horizontal="left" vertical="top" wrapText="1"/>
    </xf>
    <xf numFmtId="0" fontId="10" fillId="0" borderId="52" xfId="0" applyFont="1" applyBorder="1" applyAlignment="1">
      <alignment horizontal="left" vertical="top" wrapText="1"/>
    </xf>
    <xf numFmtId="0" fontId="10" fillId="0" borderId="53" xfId="0" applyFont="1" applyBorder="1" applyAlignment="1">
      <alignment horizontal="left" vertical="top" wrapText="1"/>
    </xf>
    <xf numFmtId="0" fontId="10" fillId="0" borderId="54" xfId="0" applyFont="1" applyBorder="1" applyAlignment="1">
      <alignment horizontal="left" vertical="top" wrapText="1"/>
    </xf>
    <xf numFmtId="5" fontId="3" fillId="4" borderId="5" xfId="4" applyNumberFormat="1" applyFont="1" applyFill="1" applyBorder="1" applyAlignment="1" applyProtection="1">
      <alignment horizontal="center"/>
    </xf>
    <xf numFmtId="5" fontId="3" fillId="4" borderId="35" xfId="4" applyNumberFormat="1" applyFont="1" applyFill="1" applyBorder="1" applyAlignment="1" applyProtection="1">
      <alignment horizontal="center"/>
    </xf>
    <xf numFmtId="5" fontId="3" fillId="4" borderId="23" xfId="4" applyNumberFormat="1" applyFont="1" applyFill="1" applyBorder="1" applyAlignment="1" applyProtection="1">
      <alignment horizontal="center"/>
    </xf>
    <xf numFmtId="5" fontId="3" fillId="4" borderId="37" xfId="4" applyNumberFormat="1" applyFont="1" applyFill="1" applyBorder="1" applyAlignment="1" applyProtection="1">
      <alignment horizontal="center"/>
    </xf>
    <xf numFmtId="5" fontId="3" fillId="4" borderId="44" xfId="4" applyNumberFormat="1" applyFont="1" applyFill="1" applyBorder="1" applyAlignment="1" applyProtection="1">
      <alignment horizontal="center"/>
    </xf>
    <xf numFmtId="5" fontId="7" fillId="0" borderId="3" xfId="4" applyNumberFormat="1" applyFont="1" applyFill="1" applyBorder="1" applyAlignment="1" applyProtection="1">
      <alignment horizontal="center" vertical="center"/>
    </xf>
    <xf numFmtId="184" fontId="2" fillId="0" borderId="6" xfId="4" applyNumberFormat="1" applyFont="1" applyFill="1" applyBorder="1" applyAlignment="1" applyProtection="1">
      <alignment horizontal="center" vertical="center"/>
    </xf>
    <xf numFmtId="184" fontId="2" fillId="0" borderId="13" xfId="4" applyNumberFormat="1" applyFont="1" applyFill="1" applyBorder="1" applyAlignment="1" applyProtection="1">
      <alignment horizontal="center" vertical="center"/>
    </xf>
    <xf numFmtId="5" fontId="2" fillId="0" borderId="44" xfId="4" applyNumberFormat="1" applyFont="1" applyFill="1" applyBorder="1" applyAlignment="1" applyProtection="1">
      <alignment horizontal="center" vertical="center"/>
    </xf>
    <xf numFmtId="5" fontId="2" fillId="0" borderId="45" xfId="4" applyNumberFormat="1" applyFont="1" applyFill="1" applyBorder="1" applyAlignment="1" applyProtection="1">
      <alignment horizontal="center" vertical="center"/>
    </xf>
  </cellXfs>
  <cellStyles count="5">
    <cellStyle name="パーセント" xfId="1" builtinId="5"/>
    <cellStyle name="桁区切り" xfId="2" builtinId="6"/>
    <cellStyle name="標準" xfId="0" builtinId="0"/>
    <cellStyle name="標準 2" xfId="3"/>
    <cellStyle name="標準 3" xfId="4"/>
  </cellStyles>
  <dxfs count="4">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9525</xdr:rowOff>
    </xdr:from>
    <xdr:to>
      <xdr:col>14</xdr:col>
      <xdr:colOff>600075</xdr:colOff>
      <xdr:row>28</xdr:row>
      <xdr:rowOff>52999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80975"/>
          <a:ext cx="10058400" cy="4672624"/>
        </a:xfrm>
        <a:prstGeom prst="rect">
          <a:avLst/>
        </a:prstGeom>
      </xdr:spPr>
    </xdr:pic>
    <xdr:clientData/>
  </xdr:twoCellAnchor>
  <xdr:twoCellAnchor editAs="oneCell">
    <xdr:from>
      <xdr:col>0</xdr:col>
      <xdr:colOff>0</xdr:colOff>
      <xdr:row>29</xdr:row>
      <xdr:rowOff>0</xdr:rowOff>
    </xdr:from>
    <xdr:to>
      <xdr:col>14</xdr:col>
      <xdr:colOff>590550</xdr:colOff>
      <xdr:row>56</xdr:row>
      <xdr:rowOff>95475</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972050"/>
          <a:ext cx="10058400" cy="4724625"/>
        </a:xfrm>
        <a:prstGeom prst="rect">
          <a:avLst/>
        </a:prstGeom>
      </xdr:spPr>
    </xdr:pic>
    <xdr:clientData/>
  </xdr:twoCellAnchor>
  <xdr:twoCellAnchor editAs="oneCell">
    <xdr:from>
      <xdr:col>0</xdr:col>
      <xdr:colOff>0</xdr:colOff>
      <xdr:row>58</xdr:row>
      <xdr:rowOff>0</xdr:rowOff>
    </xdr:from>
    <xdr:to>
      <xdr:col>14</xdr:col>
      <xdr:colOff>590550</xdr:colOff>
      <xdr:row>85</xdr:row>
      <xdr:rowOff>95475</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9944100"/>
          <a:ext cx="10058400" cy="47246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N70"/>
  <sheetViews>
    <sheetView tabSelected="1" zoomScale="70" zoomScaleNormal="70" workbookViewId="0">
      <pane xSplit="4" ySplit="12" topLeftCell="E13" activePane="bottomRight" state="frozen"/>
      <selection pane="topRight" activeCell="E1" sqref="E1"/>
      <selection pane="bottomLeft" activeCell="A13" sqref="A13"/>
      <selection pane="bottomRight"/>
    </sheetView>
  </sheetViews>
  <sheetFormatPr defaultRowHeight="18.75"/>
  <cols>
    <col min="1" max="1" width="2.625" style="80" customWidth="1"/>
    <col min="2" max="2" width="5.5" style="80" customWidth="1"/>
    <col min="3" max="3" width="13.625" style="80" customWidth="1"/>
    <col min="4" max="4" width="12.625" style="80" customWidth="1"/>
    <col min="5" max="7" width="8.625" style="80" customWidth="1"/>
    <col min="8" max="8" width="6.625" style="80" customWidth="1"/>
    <col min="9" max="10" width="11" style="80" customWidth="1"/>
    <col min="11" max="11" width="7.625" style="80" customWidth="1"/>
    <col min="12" max="12" width="10.5" style="80" customWidth="1"/>
    <col min="13" max="14" width="11.125" style="80" customWidth="1"/>
    <col min="15" max="15" width="8.625" style="80" customWidth="1"/>
    <col min="16" max="17" width="11.125" style="80" customWidth="1"/>
    <col min="18" max="21" width="8.75" style="80" customWidth="1"/>
    <col min="22" max="22" width="13.375" style="80" customWidth="1"/>
    <col min="23" max="23" width="11" style="80" customWidth="1"/>
    <col min="24" max="24" width="7.625" style="80" customWidth="1"/>
    <col min="25" max="25" width="13.5" style="80" customWidth="1"/>
    <col min="26" max="26" width="9.75" style="80" customWidth="1"/>
    <col min="27" max="27" width="2.75" style="80" customWidth="1"/>
    <col min="28" max="16384" width="9" style="80"/>
  </cols>
  <sheetData>
    <row r="2" spans="2:40">
      <c r="C2" s="88" t="s">
        <v>30</v>
      </c>
      <c r="D2" s="103">
        <f>C13</f>
        <v>100000</v>
      </c>
      <c r="E2" s="221" t="s">
        <v>65</v>
      </c>
      <c r="F2" s="221"/>
      <c r="G2" s="197" t="s">
        <v>66</v>
      </c>
      <c r="H2" s="197"/>
      <c r="I2" s="197"/>
      <c r="J2" s="106" t="s">
        <v>61</v>
      </c>
      <c r="K2" s="181" t="s">
        <v>142</v>
      </c>
      <c r="L2" s="181"/>
      <c r="M2" s="181"/>
      <c r="N2" s="181"/>
      <c r="O2" s="181"/>
      <c r="P2" s="181"/>
      <c r="Q2" s="181"/>
      <c r="R2" s="181"/>
      <c r="S2" s="181"/>
      <c r="T2" s="181"/>
      <c r="U2" s="181"/>
      <c r="V2" s="181"/>
      <c r="Y2" s="174"/>
      <c r="Z2" s="174"/>
      <c r="AA2" s="174"/>
      <c r="AB2" s="106" t="s">
        <v>62</v>
      </c>
      <c r="AC2" s="181" t="s">
        <v>186</v>
      </c>
      <c r="AD2" s="181"/>
      <c r="AE2" s="181"/>
      <c r="AF2" s="181"/>
      <c r="AG2" s="181"/>
      <c r="AH2" s="181"/>
      <c r="AI2" s="181"/>
      <c r="AJ2" s="181"/>
      <c r="AK2" s="181"/>
    </row>
    <row r="3" spans="2:40">
      <c r="C3" s="88" t="s">
        <v>31</v>
      </c>
      <c r="D3" s="118"/>
      <c r="E3" s="104" t="s">
        <v>56</v>
      </c>
      <c r="F3" s="105">
        <f>COUNTIF(Y13:Y44,"&gt;0")</f>
        <v>3</v>
      </c>
      <c r="G3" s="224" t="s">
        <v>67</v>
      </c>
      <c r="H3" s="224"/>
      <c r="I3" s="129">
        <f>COUNTIF(H13:H44,"買")</f>
        <v>15</v>
      </c>
      <c r="K3" s="181" t="s">
        <v>143</v>
      </c>
      <c r="L3" s="181"/>
      <c r="M3" s="181"/>
      <c r="N3" s="181"/>
      <c r="O3" s="181"/>
      <c r="P3" s="181"/>
      <c r="Q3" s="181"/>
      <c r="R3" s="181"/>
      <c r="S3" s="181"/>
      <c r="T3" s="181"/>
      <c r="U3" s="181"/>
      <c r="V3" s="181"/>
      <c r="W3" s="174"/>
      <c r="Y3" s="174"/>
      <c r="Z3" s="174"/>
      <c r="AA3" s="174"/>
      <c r="AB3" s="174"/>
      <c r="AC3" s="181" t="s">
        <v>185</v>
      </c>
      <c r="AD3" s="181"/>
      <c r="AE3" s="181"/>
      <c r="AF3" s="181"/>
      <c r="AG3" s="181"/>
      <c r="AH3" s="181"/>
      <c r="AI3" s="181"/>
      <c r="AJ3" s="181"/>
      <c r="AK3" s="181"/>
    </row>
    <row r="4" spans="2:40">
      <c r="C4" s="104" t="s">
        <v>72</v>
      </c>
      <c r="D4" s="126">
        <f>AVERAGEIF(Y13:Y44,"&gt;0")</f>
        <v>2293.0733333333333</v>
      </c>
      <c r="E4" s="113" t="s">
        <v>57</v>
      </c>
      <c r="F4" s="105">
        <f>COUNTIF(Y13:Y44,"&lt;0")</f>
        <v>13</v>
      </c>
      <c r="G4" s="224" t="s">
        <v>68</v>
      </c>
      <c r="H4" s="224"/>
      <c r="I4" s="129">
        <f>COUNTIF(H13:H44,"買")</f>
        <v>15</v>
      </c>
      <c r="K4" s="181" t="s">
        <v>141</v>
      </c>
      <c r="L4" s="181"/>
      <c r="M4" s="181"/>
      <c r="N4" s="181"/>
      <c r="O4" s="181"/>
      <c r="P4" s="181"/>
      <c r="Q4" s="181"/>
      <c r="R4" s="181"/>
      <c r="S4" s="181"/>
      <c r="T4" s="181"/>
      <c r="U4" s="181"/>
      <c r="V4" s="181"/>
      <c r="W4" s="174"/>
      <c r="Y4" s="174"/>
      <c r="Z4" s="174"/>
      <c r="AA4" s="174"/>
      <c r="AB4" s="174"/>
      <c r="AC4" s="181" t="s">
        <v>184</v>
      </c>
      <c r="AD4" s="181"/>
      <c r="AE4" s="181"/>
      <c r="AF4" s="181"/>
      <c r="AG4" s="181"/>
      <c r="AH4" s="181"/>
      <c r="AI4" s="181"/>
      <c r="AJ4" s="181"/>
      <c r="AK4" s="181"/>
    </row>
    <row r="5" spans="2:40">
      <c r="C5" s="104" t="s">
        <v>73</v>
      </c>
      <c r="D5" s="128">
        <f>AVERAGEIF(Y13:Y44,"&lt;0")</f>
        <v>-1789.9384615384615</v>
      </c>
      <c r="E5" s="113" t="s">
        <v>58</v>
      </c>
      <c r="F5" s="105">
        <f>COUNTIF(Y13:Y44,"=0")</f>
        <v>0</v>
      </c>
      <c r="G5" s="224" t="s">
        <v>69</v>
      </c>
      <c r="H5" s="224"/>
      <c r="I5" s="129">
        <f>I3+I4</f>
        <v>30</v>
      </c>
      <c r="W5" s="174"/>
      <c r="Y5" s="174"/>
      <c r="Z5" s="174"/>
      <c r="AA5" s="174"/>
      <c r="AB5" s="174"/>
      <c r="AC5" s="181" t="s">
        <v>183</v>
      </c>
      <c r="AD5" s="181"/>
      <c r="AE5" s="181"/>
      <c r="AF5" s="181"/>
      <c r="AG5" s="181"/>
      <c r="AH5" s="181"/>
      <c r="AI5" s="181"/>
      <c r="AJ5" s="181"/>
      <c r="AK5" s="181"/>
    </row>
    <row r="6" spans="2:40">
      <c r="B6" s="112"/>
      <c r="C6" s="104" t="s">
        <v>70</v>
      </c>
      <c r="D6" s="126">
        <f>SUMIF(Y13:Y44,"&gt;0")</f>
        <v>6879.22</v>
      </c>
      <c r="E6" s="113" t="s">
        <v>36</v>
      </c>
      <c r="F6" s="117">
        <f>F3/SUM(F3:F5)</f>
        <v>0.1875</v>
      </c>
      <c r="G6" s="222" t="s">
        <v>37</v>
      </c>
      <c r="H6" s="223"/>
      <c r="I6" s="129"/>
      <c r="W6" s="174"/>
      <c r="Y6" s="174"/>
      <c r="Z6" s="174"/>
      <c r="AA6" s="174"/>
      <c r="AB6" s="174"/>
      <c r="AC6" s="181" t="s">
        <v>182</v>
      </c>
      <c r="AD6" s="181"/>
      <c r="AE6" s="181"/>
      <c r="AF6" s="181"/>
      <c r="AG6" s="181"/>
      <c r="AH6" s="181"/>
      <c r="AI6" s="181"/>
      <c r="AJ6" s="181"/>
      <c r="AK6" s="181"/>
    </row>
    <row r="7" spans="2:40">
      <c r="B7" s="112"/>
      <c r="C7" s="104" t="s">
        <v>71</v>
      </c>
      <c r="D7" s="128">
        <f>SUMIF(Y13:Y44,"&lt;0")</f>
        <v>-23269.200000000001</v>
      </c>
      <c r="E7" s="114"/>
      <c r="F7" s="115"/>
      <c r="G7" s="222" t="s">
        <v>38</v>
      </c>
      <c r="H7" s="223"/>
      <c r="I7" s="129"/>
      <c r="J7" s="106"/>
      <c r="W7" s="159"/>
      <c r="X7" s="159"/>
      <c r="AC7" s="181" t="s">
        <v>147</v>
      </c>
      <c r="AD7" s="181"/>
      <c r="AE7" s="181"/>
      <c r="AF7" s="181"/>
      <c r="AG7" s="181"/>
      <c r="AH7" s="181"/>
      <c r="AI7" s="181"/>
      <c r="AJ7" s="181"/>
      <c r="AK7" s="181"/>
    </row>
    <row r="8" spans="2:40">
      <c r="B8" s="112"/>
      <c r="C8" s="88" t="s">
        <v>32</v>
      </c>
      <c r="D8" s="118">
        <f>SUM(Y13:Y44)</f>
        <v>-16389.979999999996</v>
      </c>
      <c r="E8" s="109"/>
      <c r="F8" s="116"/>
      <c r="G8" s="208" t="s">
        <v>34</v>
      </c>
      <c r="H8" s="209"/>
      <c r="I8" s="131">
        <f>MAX(C13:C44)-C13</f>
        <v>2911.8499999999913</v>
      </c>
      <c r="J8" s="106"/>
      <c r="W8" s="159"/>
      <c r="X8" s="159"/>
    </row>
    <row r="9" spans="2:40">
      <c r="B9" s="112"/>
      <c r="C9" s="88" t="s">
        <v>33</v>
      </c>
      <c r="D9" s="118">
        <f>SUM(X13:X44)</f>
        <v>-740297.2</v>
      </c>
      <c r="E9" s="109"/>
      <c r="F9" s="116"/>
      <c r="G9" s="208" t="s">
        <v>35</v>
      </c>
      <c r="H9" s="209"/>
      <c r="I9" s="135">
        <f>MIN(C13:C44)-C13</f>
        <v>-16583.430000000008</v>
      </c>
      <c r="J9" s="106"/>
      <c r="L9" s="180"/>
      <c r="W9" s="159"/>
      <c r="X9" s="159"/>
    </row>
    <row r="10" spans="2:40">
      <c r="B10" s="107"/>
      <c r="C10" s="81"/>
      <c r="D10" s="179" t="s">
        <v>190</v>
      </c>
      <c r="E10" s="211"/>
      <c r="F10" s="211"/>
      <c r="G10" s="212"/>
      <c r="H10" s="212"/>
      <c r="I10" s="212"/>
      <c r="J10" s="211"/>
      <c r="K10" s="213"/>
      <c r="L10" s="213"/>
      <c r="M10" s="213"/>
      <c r="N10" s="108"/>
      <c r="O10" s="108"/>
      <c r="P10" s="108"/>
      <c r="Q10" s="108"/>
      <c r="R10" s="178"/>
      <c r="S10" s="178"/>
      <c r="T10" s="178"/>
      <c r="U10" s="178"/>
      <c r="V10" s="178"/>
    </row>
    <row r="11" spans="2:40" ht="18.75" customHeight="1">
      <c r="B11" s="191" t="s">
        <v>39</v>
      </c>
      <c r="C11" s="200" t="s">
        <v>40</v>
      </c>
      <c r="D11" s="202" t="s">
        <v>28</v>
      </c>
      <c r="E11" s="214" t="s">
        <v>41</v>
      </c>
      <c r="F11" s="215"/>
      <c r="G11" s="215"/>
      <c r="H11" s="215"/>
      <c r="I11" s="215"/>
      <c r="J11" s="215"/>
      <c r="K11" s="198" t="s">
        <v>52</v>
      </c>
      <c r="L11" s="199"/>
      <c r="M11" s="203" t="s">
        <v>53</v>
      </c>
      <c r="N11" s="193" t="s">
        <v>55</v>
      </c>
      <c r="O11" s="218" t="s">
        <v>112</v>
      </c>
      <c r="P11" s="219"/>
      <c r="Q11" s="220"/>
      <c r="R11" s="216" t="s">
        <v>113</v>
      </c>
      <c r="S11" s="217"/>
      <c r="T11" s="217"/>
      <c r="U11" s="217"/>
      <c r="V11" s="217"/>
      <c r="W11" s="210" t="s">
        <v>114</v>
      </c>
      <c r="X11" s="210"/>
      <c r="Y11" s="210" t="s">
        <v>115</v>
      </c>
      <c r="Z11" s="210"/>
    </row>
    <row r="12" spans="2:40">
      <c r="B12" s="192"/>
      <c r="C12" s="201"/>
      <c r="D12" s="191"/>
      <c r="E12" s="93" t="s">
        <v>42</v>
      </c>
      <c r="F12" s="93" t="s">
        <v>43</v>
      </c>
      <c r="G12" s="93" t="s">
        <v>29</v>
      </c>
      <c r="H12" s="93" t="s">
        <v>44</v>
      </c>
      <c r="I12" s="94" t="s">
        <v>45</v>
      </c>
      <c r="J12" s="95" t="s">
        <v>51</v>
      </c>
      <c r="K12" s="90" t="s">
        <v>46</v>
      </c>
      <c r="L12" s="91" t="s">
        <v>47</v>
      </c>
      <c r="M12" s="204"/>
      <c r="N12" s="194"/>
      <c r="O12" s="93" t="s">
        <v>63</v>
      </c>
      <c r="P12" s="93" t="s">
        <v>59</v>
      </c>
      <c r="Q12" s="93" t="s">
        <v>60</v>
      </c>
      <c r="R12" s="92" t="s">
        <v>42</v>
      </c>
      <c r="S12" s="92" t="s">
        <v>43</v>
      </c>
      <c r="T12" s="96" t="s">
        <v>29</v>
      </c>
      <c r="U12" s="96" t="s">
        <v>64</v>
      </c>
      <c r="V12" s="96" t="s">
        <v>48</v>
      </c>
      <c r="W12" s="89" t="s">
        <v>49</v>
      </c>
      <c r="X12" s="89" t="s">
        <v>46</v>
      </c>
      <c r="Y12" s="89" t="s">
        <v>49</v>
      </c>
      <c r="Z12" s="89" t="s">
        <v>85</v>
      </c>
    </row>
    <row r="13" spans="2:40">
      <c r="B13" s="82">
        <v>1</v>
      </c>
      <c r="C13" s="98">
        <v>100000</v>
      </c>
      <c r="D13" s="83" t="s">
        <v>86</v>
      </c>
      <c r="E13" s="82">
        <v>2016</v>
      </c>
      <c r="F13" s="84">
        <v>42632</v>
      </c>
      <c r="G13" s="84" t="s">
        <v>54</v>
      </c>
      <c r="H13" s="82" t="s">
        <v>50</v>
      </c>
      <c r="I13" s="127">
        <v>0.99087999999999998</v>
      </c>
      <c r="J13" s="127">
        <v>0.98797999999999997</v>
      </c>
      <c r="K13" s="102">
        <f>ABS(I13-J13)*10000</f>
        <v>29.000000000000135</v>
      </c>
      <c r="L13" s="98">
        <f>C13*0.02</f>
        <v>2000</v>
      </c>
      <c r="M13" s="99">
        <v>77.44</v>
      </c>
      <c r="N13" s="111">
        <f>L13/K13/M13*10000</f>
        <v>8905.671131376419</v>
      </c>
      <c r="O13" s="86">
        <v>1</v>
      </c>
      <c r="P13" s="133">
        <v>0.99087999999999998</v>
      </c>
      <c r="Q13" s="111">
        <v>6000</v>
      </c>
      <c r="R13" s="82">
        <v>2016</v>
      </c>
      <c r="S13" s="84">
        <v>42633</v>
      </c>
      <c r="T13" s="84" t="s">
        <v>54</v>
      </c>
      <c r="U13" s="123">
        <v>4</v>
      </c>
      <c r="V13" s="101">
        <v>0.99451999999999996</v>
      </c>
      <c r="W13" s="87">
        <f>IF(H13="売",P13-V13,V13-P13)*Q13*M13</f>
        <v>1691.2895999999892</v>
      </c>
      <c r="X13" s="87">
        <f>IF(H13="売",P13-V13,V13-P13)*10000</f>
        <v>36.399999999999764</v>
      </c>
      <c r="Y13" s="124">
        <v>1684.75</v>
      </c>
      <c r="Z13" s="124">
        <v>4.24</v>
      </c>
      <c r="AB13" s="106" t="s">
        <v>94</v>
      </c>
      <c r="AC13" s="181" t="s">
        <v>165</v>
      </c>
      <c r="AD13" s="181"/>
      <c r="AE13" s="181"/>
      <c r="AF13" s="181"/>
      <c r="AG13" s="181"/>
      <c r="AH13" s="181"/>
      <c r="AI13" s="181"/>
      <c r="AJ13" s="181"/>
      <c r="AK13" s="181"/>
      <c r="AL13" s="181"/>
      <c r="AM13" s="181"/>
      <c r="AN13" s="181"/>
    </row>
    <row r="14" spans="2:40">
      <c r="B14" s="82">
        <v>2</v>
      </c>
      <c r="C14" s="98">
        <v>100000</v>
      </c>
      <c r="D14" s="83" t="s">
        <v>88</v>
      </c>
      <c r="E14" s="82">
        <v>2016</v>
      </c>
      <c r="F14" s="84">
        <v>42632</v>
      </c>
      <c r="G14" s="84" t="s">
        <v>54</v>
      </c>
      <c r="H14" s="82" t="s">
        <v>50</v>
      </c>
      <c r="I14" s="127">
        <v>0.71287999999999996</v>
      </c>
      <c r="J14" s="127">
        <v>0.71053999999999995</v>
      </c>
      <c r="K14" s="102">
        <f>ABS(I14-J14)*10000</f>
        <v>23.400000000000087</v>
      </c>
      <c r="L14" s="98">
        <f>C14*0.02</f>
        <v>2000</v>
      </c>
      <c r="M14" s="99">
        <v>104.4</v>
      </c>
      <c r="N14" s="111">
        <f>L14/K14/M14*10000</f>
        <v>8186.789795985168</v>
      </c>
      <c r="O14" s="86">
        <v>2</v>
      </c>
      <c r="P14" s="133">
        <v>0.71299999999999997</v>
      </c>
      <c r="Q14" s="111">
        <v>9000</v>
      </c>
      <c r="R14" s="82">
        <v>2016</v>
      </c>
      <c r="S14" s="84">
        <v>42633</v>
      </c>
      <c r="T14" s="84" t="s">
        <v>54</v>
      </c>
      <c r="U14" s="123">
        <v>3</v>
      </c>
      <c r="V14" s="101">
        <v>0.71428000000000003</v>
      </c>
      <c r="W14" s="87">
        <f>IF(H14="売",P14-V14,V14-P14)*Q14*M14</f>
        <v>1202.6880000000554</v>
      </c>
      <c r="X14" s="87">
        <f t="shared" ref="X14:X17" si="0">IF(H14="売",P14-V14,V14-P14)*10000</f>
        <v>12.800000000000589</v>
      </c>
      <c r="Y14" s="124">
        <v>1198.43</v>
      </c>
      <c r="Z14" s="124">
        <v>24.43</v>
      </c>
      <c r="AB14" s="106" t="s">
        <v>95</v>
      </c>
      <c r="AC14" s="181" t="s">
        <v>179</v>
      </c>
      <c r="AD14" s="181"/>
      <c r="AE14" s="181"/>
      <c r="AF14" s="181"/>
      <c r="AG14" s="181"/>
      <c r="AH14" s="181"/>
      <c r="AI14" s="181"/>
      <c r="AJ14" s="181"/>
      <c r="AK14" s="181"/>
      <c r="AL14" s="181"/>
      <c r="AM14" s="181"/>
      <c r="AN14" s="181"/>
    </row>
    <row r="15" spans="2:40">
      <c r="B15" s="82">
        <v>3</v>
      </c>
      <c r="C15" s="98">
        <f>C13+Y13+Z13+Y14+Z14</f>
        <v>102911.84999999999</v>
      </c>
      <c r="D15" s="83" t="s">
        <v>90</v>
      </c>
      <c r="E15" s="82">
        <v>2016</v>
      </c>
      <c r="F15" s="84">
        <v>42633</v>
      </c>
      <c r="G15" s="84" t="s">
        <v>54</v>
      </c>
      <c r="H15" s="82" t="s">
        <v>89</v>
      </c>
      <c r="I15" s="127">
        <v>77.075999999999993</v>
      </c>
      <c r="J15" s="127">
        <v>77.304000000000002</v>
      </c>
      <c r="K15" s="102">
        <f>ABS(I15-J15)*100</f>
        <v>22.800000000000864</v>
      </c>
      <c r="L15" s="98">
        <f t="shared" ref="L15:L44" si="1">C15*0.02</f>
        <v>2058.2370000000001</v>
      </c>
      <c r="M15" s="99">
        <v>77.075999999999993</v>
      </c>
      <c r="N15" s="111">
        <f>L15/K15/M15*10000</f>
        <v>11712.277833771283</v>
      </c>
      <c r="O15" s="86">
        <v>1</v>
      </c>
      <c r="P15" s="133">
        <v>77.069999999999993</v>
      </c>
      <c r="Q15" s="111">
        <v>11000</v>
      </c>
      <c r="R15" s="82">
        <v>2016</v>
      </c>
      <c r="S15" s="84">
        <v>42634</v>
      </c>
      <c r="T15" s="84" t="s">
        <v>54</v>
      </c>
      <c r="U15" s="123">
        <v>2</v>
      </c>
      <c r="V15" s="101">
        <v>77.308000000000007</v>
      </c>
      <c r="W15" s="87">
        <f>IF(H15="売",P15-V15,V15-P15)*Q15</f>
        <v>-2618.0000000001514</v>
      </c>
      <c r="X15" s="87">
        <f>IF(H15="売",P15-V15,V15-P15)*100</f>
        <v>-23.800000000001376</v>
      </c>
      <c r="Y15" s="134">
        <v>-2623.97</v>
      </c>
      <c r="Z15" s="134">
        <v>-10.43</v>
      </c>
      <c r="AB15" s="106" t="s">
        <v>100</v>
      </c>
      <c r="AC15" s="181" t="s">
        <v>180</v>
      </c>
      <c r="AD15" s="181"/>
      <c r="AE15" s="181"/>
      <c r="AF15" s="181"/>
      <c r="AG15" s="181"/>
      <c r="AH15" s="181"/>
      <c r="AI15" s="181"/>
      <c r="AJ15" s="181"/>
      <c r="AK15" s="181"/>
      <c r="AL15" s="181"/>
      <c r="AM15" s="181"/>
      <c r="AN15" s="181"/>
    </row>
    <row r="16" spans="2:40">
      <c r="B16" s="82">
        <v>4</v>
      </c>
      <c r="C16" s="98">
        <f>C13+Y13+Z13+Y14+Z14</f>
        <v>102911.84999999999</v>
      </c>
      <c r="D16" s="83" t="s">
        <v>91</v>
      </c>
      <c r="E16" s="82">
        <v>2016</v>
      </c>
      <c r="F16" s="84">
        <v>42633</v>
      </c>
      <c r="G16" s="84" t="s">
        <v>54</v>
      </c>
      <c r="H16" s="82" t="s">
        <v>89</v>
      </c>
      <c r="I16" s="127">
        <v>103.794</v>
      </c>
      <c r="J16" s="127">
        <v>104.07</v>
      </c>
      <c r="K16" s="102">
        <f>ABS(I16-J16)*100</f>
        <v>27.599999999999625</v>
      </c>
      <c r="L16" s="98">
        <f t="shared" si="1"/>
        <v>2058.2370000000001</v>
      </c>
      <c r="M16" s="99">
        <v>103.794</v>
      </c>
      <c r="N16" s="111">
        <f>L16/K16/M16*10000</f>
        <v>7184.7895203795124</v>
      </c>
      <c r="O16" s="86">
        <v>1</v>
      </c>
      <c r="P16" s="133">
        <v>103.794</v>
      </c>
      <c r="Q16" s="111">
        <v>7000</v>
      </c>
      <c r="R16" s="82">
        <v>2016</v>
      </c>
      <c r="S16" s="84">
        <v>42633</v>
      </c>
      <c r="T16" s="84" t="s">
        <v>54</v>
      </c>
      <c r="U16" s="123">
        <v>2</v>
      </c>
      <c r="V16" s="101">
        <v>104.23</v>
      </c>
      <c r="W16" s="87">
        <f>IF(H16="売",P16-V16,V16-P16)*Q16</f>
        <v>-3052.0000000000491</v>
      </c>
      <c r="X16" s="87">
        <f>IF(H16="売",P16-V16,V16-P16)*100</f>
        <v>-43.600000000000705</v>
      </c>
      <c r="Y16" s="134">
        <v>-3052</v>
      </c>
      <c r="Z16" s="132">
        <v>0</v>
      </c>
      <c r="AB16" s="106" t="s">
        <v>96</v>
      </c>
      <c r="AC16" s="181" t="s">
        <v>98</v>
      </c>
      <c r="AD16" s="181"/>
      <c r="AE16" s="181"/>
      <c r="AF16" s="181"/>
      <c r="AG16" s="181"/>
      <c r="AH16" s="181"/>
      <c r="AI16" s="181"/>
      <c r="AJ16" s="181"/>
      <c r="AK16" s="181"/>
      <c r="AL16" s="181"/>
      <c r="AM16" s="181"/>
      <c r="AN16" s="181"/>
    </row>
    <row r="17" spans="2:40">
      <c r="B17" s="82">
        <v>5</v>
      </c>
      <c r="C17" s="98">
        <f>C13+Y13+Z13+Y14+Z14</f>
        <v>102911.84999999999</v>
      </c>
      <c r="D17" s="83" t="s">
        <v>92</v>
      </c>
      <c r="E17" s="82">
        <v>2016</v>
      </c>
      <c r="F17" s="84">
        <v>42633</v>
      </c>
      <c r="G17" s="84" t="s">
        <v>54</v>
      </c>
      <c r="H17" s="82" t="s">
        <v>50</v>
      </c>
      <c r="I17" s="127">
        <v>0.85726000000000002</v>
      </c>
      <c r="J17" s="127">
        <v>0.85629999999999995</v>
      </c>
      <c r="K17" s="102">
        <f>ABS(I17-J17)*10000</f>
        <v>9.6000000000007191</v>
      </c>
      <c r="L17" s="98">
        <f t="shared" si="1"/>
        <v>2058.2370000000001</v>
      </c>
      <c r="M17" s="99">
        <v>132.7407</v>
      </c>
      <c r="N17" s="111">
        <f t="shared" ref="N17:N44" si="2">L17/K17/M17*10000</f>
        <v>16151.767129447408</v>
      </c>
      <c r="O17" s="86">
        <v>2</v>
      </c>
      <c r="P17" s="133">
        <v>0.85726999999999998</v>
      </c>
      <c r="Q17" s="111">
        <v>16000</v>
      </c>
      <c r="R17" s="82">
        <v>2016</v>
      </c>
      <c r="S17" s="84">
        <v>42634</v>
      </c>
      <c r="T17" s="84" t="s">
        <v>54</v>
      </c>
      <c r="U17" s="123">
        <v>5</v>
      </c>
      <c r="V17" s="101">
        <v>0.85726999999999998</v>
      </c>
      <c r="W17" s="87">
        <f>IF(H17="売",P17-V17,V17-P17)*Q17*M17</f>
        <v>0</v>
      </c>
      <c r="X17" s="87">
        <f t="shared" si="0"/>
        <v>0</v>
      </c>
      <c r="Y17" s="134">
        <v>-14.47</v>
      </c>
      <c r="Z17" s="134">
        <v>-13.94</v>
      </c>
      <c r="AB17" s="106" t="s">
        <v>97</v>
      </c>
      <c r="AC17" s="181" t="s">
        <v>181</v>
      </c>
      <c r="AD17" s="181"/>
      <c r="AE17" s="181"/>
      <c r="AF17" s="181"/>
      <c r="AG17" s="181"/>
      <c r="AH17" s="181"/>
      <c r="AI17" s="181"/>
      <c r="AJ17" s="181"/>
      <c r="AK17" s="181"/>
      <c r="AL17" s="181"/>
      <c r="AM17" s="181"/>
      <c r="AN17" s="181"/>
    </row>
    <row r="18" spans="2:40">
      <c r="B18" s="82">
        <v>6</v>
      </c>
      <c r="C18" s="98">
        <f>C13+Y13+Z13+Y14+Z14</f>
        <v>102911.84999999999</v>
      </c>
      <c r="D18" s="83" t="s">
        <v>93</v>
      </c>
      <c r="E18" s="82">
        <v>2016</v>
      </c>
      <c r="F18" s="84">
        <v>42633</v>
      </c>
      <c r="G18" s="84" t="s">
        <v>54</v>
      </c>
      <c r="H18" s="82" t="s">
        <v>89</v>
      </c>
      <c r="I18" s="127">
        <v>132.66800000000001</v>
      </c>
      <c r="J18" s="127">
        <v>133.11199999999999</v>
      </c>
      <c r="K18" s="102">
        <f>ABS(I18-J18)*100</f>
        <v>44.39999999999884</v>
      </c>
      <c r="L18" s="98">
        <f t="shared" si="1"/>
        <v>2058.2370000000001</v>
      </c>
      <c r="M18" s="99">
        <v>132.66800000000001</v>
      </c>
      <c r="N18" s="111">
        <f t="shared" si="2"/>
        <v>3494.1876857411285</v>
      </c>
      <c r="O18" s="86">
        <v>1</v>
      </c>
      <c r="P18" s="133">
        <v>132.66800000000001</v>
      </c>
      <c r="Q18" s="111">
        <v>3000</v>
      </c>
      <c r="R18" s="82">
        <v>2016</v>
      </c>
      <c r="S18" s="84">
        <v>42634</v>
      </c>
      <c r="T18" s="84" t="s">
        <v>54</v>
      </c>
      <c r="U18" s="123">
        <v>2</v>
      </c>
      <c r="V18" s="101">
        <v>133.114</v>
      </c>
      <c r="W18" s="87">
        <f>IF(H18="売",P18-V18,V18-P18)*Q18</f>
        <v>-1337.9999999999939</v>
      </c>
      <c r="X18" s="87">
        <f>IF(H18="売",P18-V18,V18-P18)*100</f>
        <v>-44.599999999999795</v>
      </c>
      <c r="Y18" s="134">
        <v>-1340.04</v>
      </c>
      <c r="Z18" s="134">
        <v>-3.03</v>
      </c>
      <c r="AB18" s="106" t="s">
        <v>99</v>
      </c>
      <c r="AC18" s="181" t="s">
        <v>187</v>
      </c>
      <c r="AD18" s="181"/>
      <c r="AE18" s="181"/>
      <c r="AF18" s="181"/>
      <c r="AG18" s="181"/>
      <c r="AH18" s="181"/>
      <c r="AI18" s="181"/>
      <c r="AJ18" s="181"/>
      <c r="AK18" s="181"/>
      <c r="AL18" s="181"/>
      <c r="AM18" s="181"/>
      <c r="AN18" s="181"/>
    </row>
    <row r="19" spans="2:40">
      <c r="B19" s="82">
        <v>7</v>
      </c>
      <c r="C19" s="98">
        <f>C18+Y15+Z15+Y16+Z16+Y17+Z17+Y18+Z18</f>
        <v>95853.97</v>
      </c>
      <c r="D19" s="83" t="s">
        <v>111</v>
      </c>
      <c r="E19" s="82">
        <v>2016</v>
      </c>
      <c r="F19" s="84">
        <v>42634</v>
      </c>
      <c r="G19" s="84" t="s">
        <v>54</v>
      </c>
      <c r="H19" s="82" t="s">
        <v>89</v>
      </c>
      <c r="I19" s="127">
        <v>0.71482000000000001</v>
      </c>
      <c r="J19" s="127">
        <v>0.71787000000000001</v>
      </c>
      <c r="K19" s="102">
        <f t="shared" ref="K19:K44" si="3">ABS(I19-J19)*10000</f>
        <v>30.499999999999972</v>
      </c>
      <c r="L19" s="98">
        <f t="shared" si="1"/>
        <v>1917.0794000000001</v>
      </c>
      <c r="M19" s="99">
        <v>103.1</v>
      </c>
      <c r="N19" s="136">
        <f>L19/K19/M19*10000</f>
        <v>6096.5142866228935</v>
      </c>
      <c r="O19" s="86">
        <v>1</v>
      </c>
      <c r="P19" s="133">
        <v>0.71413000000000004</v>
      </c>
      <c r="Q19" s="111">
        <v>6000</v>
      </c>
      <c r="R19" s="82">
        <v>2016</v>
      </c>
      <c r="S19" s="84">
        <v>42635</v>
      </c>
      <c r="T19" s="84" t="s">
        <v>54</v>
      </c>
      <c r="U19" s="123">
        <v>2</v>
      </c>
      <c r="V19" s="101">
        <v>0.71808000000000005</v>
      </c>
      <c r="W19" s="87">
        <f t="shared" ref="W19:W44" si="4">IF(H19="売",P19-V19,V19-P19)*Q19*M19</f>
        <v>-2443.4700000000053</v>
      </c>
      <c r="X19" s="87">
        <f>IF(H19="売",P19-V19,V19-P19)*10000</f>
        <v>-39.500000000000092</v>
      </c>
      <c r="Y19" s="134">
        <v>-2445.8200000000002</v>
      </c>
      <c r="Z19" s="134">
        <v>-11.51</v>
      </c>
      <c r="AB19" s="106" t="s">
        <v>101</v>
      </c>
      <c r="AC19" s="181" t="s">
        <v>173</v>
      </c>
      <c r="AD19" s="181"/>
      <c r="AE19" s="181"/>
      <c r="AF19" s="181"/>
      <c r="AG19" s="181"/>
      <c r="AH19" s="181"/>
      <c r="AI19" s="181"/>
      <c r="AJ19" s="181"/>
      <c r="AK19" s="181"/>
      <c r="AL19" s="181"/>
      <c r="AM19" s="181"/>
      <c r="AN19" s="181"/>
    </row>
    <row r="20" spans="2:40">
      <c r="B20" s="140">
        <v>8</v>
      </c>
      <c r="C20" s="141">
        <f>C19+Y19+Z19</f>
        <v>93396.64</v>
      </c>
      <c r="D20" s="142" t="s">
        <v>118</v>
      </c>
      <c r="E20" s="140">
        <v>2016</v>
      </c>
      <c r="F20" s="143">
        <v>42635</v>
      </c>
      <c r="G20" s="143" t="s">
        <v>54</v>
      </c>
      <c r="H20" s="140" t="s">
        <v>50</v>
      </c>
      <c r="I20" s="144">
        <v>0.99992000000000003</v>
      </c>
      <c r="J20" s="144">
        <v>0.99675000000000002</v>
      </c>
      <c r="K20" s="145">
        <f t="shared" si="3"/>
        <v>31.70000000000006</v>
      </c>
      <c r="L20" s="141">
        <f t="shared" si="1"/>
        <v>1867.9328</v>
      </c>
      <c r="M20" s="146">
        <v>76.771000000000001</v>
      </c>
      <c r="N20" s="147">
        <f t="shared" si="2"/>
        <v>7675.4666372895408</v>
      </c>
      <c r="O20" s="148">
        <v>1</v>
      </c>
      <c r="P20" s="149" t="s">
        <v>128</v>
      </c>
      <c r="Q20" s="147">
        <v>7000</v>
      </c>
      <c r="R20" s="140"/>
      <c r="S20" s="143"/>
      <c r="T20" s="143" t="s">
        <v>54</v>
      </c>
      <c r="U20" s="150"/>
      <c r="V20" s="151"/>
      <c r="W20" s="152"/>
      <c r="X20" s="152"/>
      <c r="Y20" s="153"/>
      <c r="Z20" s="153"/>
      <c r="AB20" s="106" t="s">
        <v>102</v>
      </c>
      <c r="AC20" s="181" t="s">
        <v>122</v>
      </c>
      <c r="AD20" s="181"/>
      <c r="AE20" s="181"/>
      <c r="AF20" s="181"/>
      <c r="AG20" s="181"/>
      <c r="AH20" s="181"/>
      <c r="AI20" s="181"/>
      <c r="AJ20" s="181"/>
      <c r="AK20" s="181"/>
      <c r="AL20" s="181"/>
      <c r="AM20" s="181"/>
      <c r="AN20" s="181"/>
    </row>
    <row r="21" spans="2:40">
      <c r="B21" s="140">
        <v>9</v>
      </c>
      <c r="C21" s="141">
        <f t="shared" ref="C21:C26" si="5">C20+Y20+Z20</f>
        <v>93396.64</v>
      </c>
      <c r="D21" s="142" t="s">
        <v>119</v>
      </c>
      <c r="E21" s="140">
        <v>2016</v>
      </c>
      <c r="F21" s="143">
        <v>42635</v>
      </c>
      <c r="G21" s="143" t="s">
        <v>54</v>
      </c>
      <c r="H21" s="140" t="s">
        <v>89</v>
      </c>
      <c r="I21" s="144">
        <v>1.5183</v>
      </c>
      <c r="J21" s="144">
        <v>1.5289699999999999</v>
      </c>
      <c r="K21" s="145">
        <f t="shared" si="3"/>
        <v>106.69999999999958</v>
      </c>
      <c r="L21" s="141">
        <f t="shared" si="1"/>
        <v>1867.9328</v>
      </c>
      <c r="M21" s="146">
        <v>73.668000000000006</v>
      </c>
      <c r="N21" s="147">
        <f t="shared" si="2"/>
        <v>2376.3912757553303</v>
      </c>
      <c r="O21" s="148">
        <v>1</v>
      </c>
      <c r="P21" s="149" t="s">
        <v>128</v>
      </c>
      <c r="Q21" s="147">
        <v>2000</v>
      </c>
      <c r="R21" s="140"/>
      <c r="S21" s="143"/>
      <c r="T21" s="143" t="s">
        <v>54</v>
      </c>
      <c r="U21" s="150"/>
      <c r="V21" s="151"/>
      <c r="W21" s="152"/>
      <c r="X21" s="152"/>
      <c r="Y21" s="153"/>
      <c r="Z21" s="153"/>
      <c r="AB21" s="106" t="s">
        <v>103</v>
      </c>
      <c r="AC21" s="181" t="s">
        <v>121</v>
      </c>
      <c r="AD21" s="181"/>
      <c r="AE21" s="181"/>
      <c r="AF21" s="181"/>
      <c r="AG21" s="181"/>
      <c r="AH21" s="181"/>
      <c r="AI21" s="181"/>
      <c r="AJ21" s="181"/>
      <c r="AK21" s="181"/>
      <c r="AL21" s="181"/>
      <c r="AM21" s="181"/>
      <c r="AN21" s="181"/>
    </row>
    <row r="22" spans="2:40">
      <c r="B22" s="140">
        <v>10</v>
      </c>
      <c r="C22" s="141">
        <f t="shared" si="5"/>
        <v>93396.64</v>
      </c>
      <c r="D22" s="142" t="s">
        <v>120</v>
      </c>
      <c r="E22" s="140">
        <v>2016</v>
      </c>
      <c r="F22" s="143">
        <v>42635</v>
      </c>
      <c r="G22" s="143" t="s">
        <v>54</v>
      </c>
      <c r="H22" s="140" t="s">
        <v>50</v>
      </c>
      <c r="I22" s="144">
        <v>0.73738999999999999</v>
      </c>
      <c r="J22" s="144">
        <v>0.73172999999999999</v>
      </c>
      <c r="K22" s="145">
        <f>ABS(I22-J22)*10000</f>
        <v>56.59999999999998</v>
      </c>
      <c r="L22" s="141">
        <f t="shared" si="1"/>
        <v>1867.9328</v>
      </c>
      <c r="M22" s="146">
        <v>100.41500000000001</v>
      </c>
      <c r="N22" s="147">
        <f t="shared" si="2"/>
        <v>3286.5952586518611</v>
      </c>
      <c r="O22" s="148">
        <v>1</v>
      </c>
      <c r="P22" s="149" t="s">
        <v>128</v>
      </c>
      <c r="Q22" s="147">
        <v>3000</v>
      </c>
      <c r="R22" s="140"/>
      <c r="S22" s="143"/>
      <c r="T22" s="143" t="s">
        <v>54</v>
      </c>
      <c r="U22" s="150"/>
      <c r="V22" s="151"/>
      <c r="W22" s="152"/>
      <c r="X22" s="152"/>
      <c r="Y22" s="153"/>
      <c r="Z22" s="153"/>
      <c r="AB22" s="106" t="s">
        <v>104</v>
      </c>
      <c r="AC22" s="181" t="s">
        <v>122</v>
      </c>
      <c r="AD22" s="181"/>
      <c r="AE22" s="181"/>
      <c r="AF22" s="181"/>
      <c r="AG22" s="181"/>
      <c r="AH22" s="181"/>
      <c r="AI22" s="181"/>
      <c r="AJ22" s="181"/>
      <c r="AK22" s="181"/>
      <c r="AL22" s="181"/>
      <c r="AM22" s="181"/>
      <c r="AN22" s="181"/>
    </row>
    <row r="23" spans="2:40">
      <c r="B23" s="140">
        <v>11</v>
      </c>
      <c r="C23" s="141">
        <f t="shared" si="5"/>
        <v>93396.64</v>
      </c>
      <c r="D23" s="142" t="s">
        <v>120</v>
      </c>
      <c r="E23" s="140">
        <v>2016</v>
      </c>
      <c r="F23" s="143">
        <v>42635</v>
      </c>
      <c r="G23" s="143" t="s">
        <v>54</v>
      </c>
      <c r="H23" s="140" t="s">
        <v>50</v>
      </c>
      <c r="I23" s="144">
        <v>0.73440000000000005</v>
      </c>
      <c r="J23" s="144">
        <v>0.73153999999999997</v>
      </c>
      <c r="K23" s="145">
        <f t="shared" si="3"/>
        <v>28.600000000000847</v>
      </c>
      <c r="L23" s="141">
        <f t="shared" si="1"/>
        <v>1867.9328</v>
      </c>
      <c r="M23" s="146">
        <v>100.646</v>
      </c>
      <c r="N23" s="147">
        <f t="shared" si="2"/>
        <v>6489.3126069922037</v>
      </c>
      <c r="O23" s="148">
        <v>1</v>
      </c>
      <c r="P23" s="149" t="s">
        <v>128</v>
      </c>
      <c r="Q23" s="147">
        <v>6000</v>
      </c>
      <c r="R23" s="140"/>
      <c r="S23" s="143"/>
      <c r="T23" s="143" t="s">
        <v>54</v>
      </c>
      <c r="U23" s="150"/>
      <c r="V23" s="151"/>
      <c r="W23" s="152"/>
      <c r="X23" s="152"/>
      <c r="Y23" s="153"/>
      <c r="Z23" s="153"/>
      <c r="AB23" s="106" t="s">
        <v>105</v>
      </c>
      <c r="AC23" s="181" t="s">
        <v>122</v>
      </c>
      <c r="AD23" s="181"/>
      <c r="AE23" s="181"/>
      <c r="AF23" s="181"/>
      <c r="AG23" s="181"/>
      <c r="AH23" s="181"/>
      <c r="AI23" s="181"/>
      <c r="AJ23" s="181"/>
      <c r="AK23" s="181"/>
      <c r="AL23" s="181"/>
      <c r="AM23" s="181"/>
      <c r="AN23" s="181"/>
    </row>
    <row r="24" spans="2:40">
      <c r="B24" s="140">
        <v>12</v>
      </c>
      <c r="C24" s="141">
        <f t="shared" si="5"/>
        <v>93396.64</v>
      </c>
      <c r="D24" s="142" t="s">
        <v>123</v>
      </c>
      <c r="E24" s="140">
        <v>2016</v>
      </c>
      <c r="F24" s="143">
        <v>42635</v>
      </c>
      <c r="G24" s="143" t="s">
        <v>54</v>
      </c>
      <c r="H24" s="140" t="s">
        <v>50</v>
      </c>
      <c r="I24" s="144">
        <v>0.74458999999999997</v>
      </c>
      <c r="J24" s="144">
        <v>0.74148000000000003</v>
      </c>
      <c r="K24" s="145">
        <f t="shared" si="3"/>
        <v>31.099999999999461</v>
      </c>
      <c r="L24" s="141">
        <f t="shared" si="1"/>
        <v>1867.9328</v>
      </c>
      <c r="M24" s="146">
        <v>104.23099999999999</v>
      </c>
      <c r="N24" s="147">
        <f t="shared" si="2"/>
        <v>5762.4073365859376</v>
      </c>
      <c r="O24" s="148">
        <v>1</v>
      </c>
      <c r="P24" s="149" t="s">
        <v>128</v>
      </c>
      <c r="Q24" s="147">
        <v>5000</v>
      </c>
      <c r="R24" s="140"/>
      <c r="S24" s="143"/>
      <c r="T24" s="143" t="s">
        <v>54</v>
      </c>
      <c r="U24" s="150"/>
      <c r="V24" s="151"/>
      <c r="W24" s="152"/>
      <c r="X24" s="152"/>
      <c r="Y24" s="153"/>
      <c r="Z24" s="153"/>
      <c r="AB24" s="106" t="s">
        <v>106</v>
      </c>
      <c r="AC24" s="181" t="s">
        <v>122</v>
      </c>
      <c r="AD24" s="181"/>
      <c r="AE24" s="181"/>
      <c r="AF24" s="181"/>
      <c r="AG24" s="181"/>
      <c r="AH24" s="181"/>
      <c r="AI24" s="181"/>
      <c r="AJ24" s="181"/>
      <c r="AK24" s="181"/>
      <c r="AL24" s="181"/>
      <c r="AM24" s="181"/>
      <c r="AN24" s="181"/>
    </row>
    <row r="25" spans="2:40">
      <c r="B25" s="140">
        <v>13</v>
      </c>
      <c r="C25" s="141">
        <f>C24+Y24+Z24</f>
        <v>93396.64</v>
      </c>
      <c r="D25" s="142" t="s">
        <v>124</v>
      </c>
      <c r="E25" s="140">
        <v>2016</v>
      </c>
      <c r="F25" s="143">
        <v>42636</v>
      </c>
      <c r="G25" s="143" t="s">
        <v>54</v>
      </c>
      <c r="H25" s="140" t="s">
        <v>50</v>
      </c>
      <c r="I25" s="144">
        <v>1.1212800000000001</v>
      </c>
      <c r="J25" s="144">
        <v>1.12001</v>
      </c>
      <c r="K25" s="145">
        <f t="shared" si="3"/>
        <v>12.700000000001044</v>
      </c>
      <c r="L25" s="141">
        <f t="shared" si="1"/>
        <v>1867.9328</v>
      </c>
      <c r="M25" s="146">
        <v>101.19499999999999</v>
      </c>
      <c r="N25" s="147">
        <f t="shared" si="2"/>
        <v>14534.445657852029</v>
      </c>
      <c r="O25" s="148">
        <v>1</v>
      </c>
      <c r="P25" s="149" t="s">
        <v>128</v>
      </c>
      <c r="Q25" s="147">
        <v>14000</v>
      </c>
      <c r="R25" s="140"/>
      <c r="S25" s="143"/>
      <c r="T25" s="143" t="s">
        <v>54</v>
      </c>
      <c r="U25" s="150"/>
      <c r="V25" s="151"/>
      <c r="W25" s="152"/>
      <c r="X25" s="152"/>
      <c r="Y25" s="153"/>
      <c r="Z25" s="153"/>
      <c r="AB25" s="106" t="s">
        <v>107</v>
      </c>
      <c r="AC25" s="181" t="s">
        <v>122</v>
      </c>
      <c r="AD25" s="181"/>
      <c r="AE25" s="181"/>
      <c r="AF25" s="181"/>
      <c r="AG25" s="181"/>
      <c r="AH25" s="181"/>
      <c r="AI25" s="181"/>
      <c r="AJ25" s="181"/>
      <c r="AK25" s="181"/>
      <c r="AL25" s="181"/>
      <c r="AM25" s="181"/>
      <c r="AN25" s="181"/>
    </row>
    <row r="26" spans="2:40">
      <c r="B26" s="82">
        <v>14</v>
      </c>
      <c r="C26" s="98">
        <f t="shared" si="5"/>
        <v>93396.64</v>
      </c>
      <c r="D26" s="83" t="s">
        <v>125</v>
      </c>
      <c r="E26" s="82">
        <v>2016</v>
      </c>
      <c r="F26" s="84">
        <v>42636</v>
      </c>
      <c r="G26" s="84" t="s">
        <v>54</v>
      </c>
      <c r="H26" s="82" t="s">
        <v>89</v>
      </c>
      <c r="I26" s="158">
        <v>73.546999999999997</v>
      </c>
      <c r="J26" s="158">
        <v>73.786000000000001</v>
      </c>
      <c r="K26" s="102">
        <f>ABS(I26-J26)*100</f>
        <v>23.900000000000432</v>
      </c>
      <c r="L26" s="98">
        <f t="shared" si="1"/>
        <v>1867.9328</v>
      </c>
      <c r="M26" s="99">
        <v>73.599000000000004</v>
      </c>
      <c r="N26" s="111">
        <f t="shared" si="2"/>
        <v>10619.191035260939</v>
      </c>
      <c r="O26" s="86">
        <v>1</v>
      </c>
      <c r="P26" s="110">
        <v>73.546999999999997</v>
      </c>
      <c r="Q26" s="111">
        <v>10000</v>
      </c>
      <c r="R26" s="82">
        <v>2016</v>
      </c>
      <c r="S26" s="84">
        <v>42639</v>
      </c>
      <c r="T26" s="84" t="s">
        <v>139</v>
      </c>
      <c r="U26" s="123">
        <v>3</v>
      </c>
      <c r="V26" s="101">
        <v>73.147000000000006</v>
      </c>
      <c r="W26" s="87">
        <f>IF(H26="売",P26-V26,V26-P26)*Q26</f>
        <v>3999.9999999999145</v>
      </c>
      <c r="X26" s="87">
        <f t="shared" ref="X26:X44" si="6">IF(H26="売",P26-V26,V26-P26)*10000</f>
        <v>3999.9999999999145</v>
      </c>
      <c r="Y26" s="125">
        <v>3996.04</v>
      </c>
      <c r="Z26" s="134">
        <v>-138.99</v>
      </c>
      <c r="AB26" s="106" t="s">
        <v>108</v>
      </c>
      <c r="AC26" s="181" t="s">
        <v>188</v>
      </c>
      <c r="AD26" s="181"/>
      <c r="AE26" s="181"/>
      <c r="AF26" s="181"/>
      <c r="AG26" s="181"/>
      <c r="AH26" s="181"/>
      <c r="AI26" s="181"/>
      <c r="AJ26" s="181"/>
      <c r="AK26" s="181"/>
      <c r="AL26" s="181"/>
      <c r="AM26" s="181"/>
      <c r="AN26" s="181"/>
    </row>
    <row r="27" spans="2:40">
      <c r="B27" s="82">
        <v>15</v>
      </c>
      <c r="C27" s="98">
        <f>C25+Y25+Z25</f>
        <v>93396.64</v>
      </c>
      <c r="D27" s="83" t="s">
        <v>126</v>
      </c>
      <c r="E27" s="82">
        <v>2016</v>
      </c>
      <c r="F27" s="84">
        <v>42636</v>
      </c>
      <c r="G27" s="84" t="s">
        <v>54</v>
      </c>
      <c r="H27" s="82" t="s">
        <v>89</v>
      </c>
      <c r="I27" s="85">
        <v>0.99551000000000001</v>
      </c>
      <c r="J27" s="85">
        <v>0.99912000000000001</v>
      </c>
      <c r="K27" s="102">
        <f t="shared" si="3"/>
        <v>36.100000000000023</v>
      </c>
      <c r="L27" s="98">
        <f t="shared" si="1"/>
        <v>1867.9328</v>
      </c>
      <c r="M27" s="99">
        <v>77.257000000000005</v>
      </c>
      <c r="N27" s="111">
        <f t="shared" si="2"/>
        <v>6697.5537308885569</v>
      </c>
      <c r="O27" s="86">
        <v>1</v>
      </c>
      <c r="P27" s="110">
        <v>0.99550000000000005</v>
      </c>
      <c r="Q27" s="111">
        <v>6000</v>
      </c>
      <c r="R27" s="82">
        <v>2016</v>
      </c>
      <c r="S27" s="84">
        <v>42636</v>
      </c>
      <c r="T27" s="84" t="s">
        <v>54</v>
      </c>
      <c r="U27" s="123">
        <v>2</v>
      </c>
      <c r="V27" s="101">
        <v>0.99917999999999996</v>
      </c>
      <c r="W27" s="87">
        <f>IF(H27="売",P27-V27,V27-P27)*Q27*M27</f>
        <v>-1705.8345599999564</v>
      </c>
      <c r="X27" s="87">
        <f t="shared" si="6"/>
        <v>-36.799999999999059</v>
      </c>
      <c r="Y27" s="172">
        <v>-1705.32</v>
      </c>
      <c r="Z27" s="134">
        <v>0</v>
      </c>
      <c r="AB27" s="106" t="s">
        <v>109</v>
      </c>
      <c r="AC27" s="181" t="s">
        <v>127</v>
      </c>
      <c r="AD27" s="181"/>
      <c r="AE27" s="181"/>
      <c r="AF27" s="181"/>
      <c r="AG27" s="181"/>
      <c r="AH27" s="181"/>
      <c r="AI27" s="181"/>
      <c r="AJ27" s="181"/>
      <c r="AK27" s="181"/>
      <c r="AL27" s="181"/>
      <c r="AM27" s="181"/>
      <c r="AN27" s="181"/>
    </row>
    <row r="28" spans="2:40">
      <c r="B28" s="82">
        <v>16</v>
      </c>
      <c r="C28" s="98">
        <f>C27+Y26+Z26+Y27+Z27</f>
        <v>95548.369999999981</v>
      </c>
      <c r="D28" s="83" t="s">
        <v>140</v>
      </c>
      <c r="E28" s="82">
        <v>2016</v>
      </c>
      <c r="F28" s="84">
        <v>42639</v>
      </c>
      <c r="G28" s="84" t="s">
        <v>54</v>
      </c>
      <c r="H28" s="82" t="s">
        <v>89</v>
      </c>
      <c r="I28" s="85">
        <v>76.888000000000005</v>
      </c>
      <c r="J28" s="85">
        <v>76.998000000000005</v>
      </c>
      <c r="K28" s="102">
        <f>ABS(I28-J28)*100</f>
        <v>10.999999999999943</v>
      </c>
      <c r="L28" s="98">
        <f t="shared" si="1"/>
        <v>1910.9673999999995</v>
      </c>
      <c r="M28" s="99">
        <v>76.888000000000005</v>
      </c>
      <c r="N28" s="111">
        <f>L28/K28/M28*10000</f>
        <v>22594.463257063511</v>
      </c>
      <c r="O28" s="86">
        <v>3</v>
      </c>
      <c r="P28" s="110">
        <v>76.888000000000005</v>
      </c>
      <c r="Q28" s="111">
        <v>22000</v>
      </c>
      <c r="R28" s="82">
        <v>2016</v>
      </c>
      <c r="S28" s="84">
        <v>42640</v>
      </c>
      <c r="T28" s="84" t="s">
        <v>54</v>
      </c>
      <c r="U28" s="123">
        <v>2</v>
      </c>
      <c r="V28" s="101">
        <v>76.98</v>
      </c>
      <c r="W28" s="87">
        <f>IF(H28="売",P28-V28,V28-P28)*Q28</f>
        <v>-2023.9999999999725</v>
      </c>
      <c r="X28" s="87">
        <f t="shared" si="6"/>
        <v>-919.99999999998749</v>
      </c>
      <c r="Y28" s="134">
        <v>-2070.12</v>
      </c>
      <c r="Z28" s="134">
        <v>-91.12</v>
      </c>
      <c r="AB28" s="106" t="s">
        <v>110</v>
      </c>
      <c r="AC28" s="181" t="s">
        <v>189</v>
      </c>
      <c r="AD28" s="181"/>
      <c r="AE28" s="181"/>
      <c r="AF28" s="181"/>
      <c r="AG28" s="181"/>
      <c r="AH28" s="181"/>
      <c r="AI28" s="181"/>
      <c r="AJ28" s="181"/>
      <c r="AK28" s="181"/>
      <c r="AL28" s="181"/>
      <c r="AM28" s="181"/>
      <c r="AN28" s="181"/>
    </row>
    <row r="29" spans="2:40">
      <c r="B29" s="82">
        <v>17</v>
      </c>
      <c r="C29" s="98">
        <f>C27+Y26+Z26+Y27+Z27</f>
        <v>95548.369999999981</v>
      </c>
      <c r="D29" s="83" t="s">
        <v>144</v>
      </c>
      <c r="E29" s="82">
        <v>2016</v>
      </c>
      <c r="F29" s="84">
        <v>42639</v>
      </c>
      <c r="G29" s="84" t="s">
        <v>54</v>
      </c>
      <c r="H29" s="82" t="s">
        <v>50</v>
      </c>
      <c r="I29" s="85">
        <v>1.79538</v>
      </c>
      <c r="J29" s="85">
        <v>1.7879</v>
      </c>
      <c r="K29" s="102">
        <f t="shared" si="3"/>
        <v>74.799999999999315</v>
      </c>
      <c r="L29" s="98">
        <f t="shared" si="1"/>
        <v>1910.9673999999995</v>
      </c>
      <c r="M29" s="99">
        <v>73.015000000000001</v>
      </c>
      <c r="N29" s="111">
        <f>L29/K29/M29*10000</f>
        <v>3498.9649405422469</v>
      </c>
      <c r="O29" s="86">
        <v>3</v>
      </c>
      <c r="P29" s="110">
        <v>1.79538</v>
      </c>
      <c r="Q29" s="111">
        <v>3000</v>
      </c>
      <c r="R29" s="82">
        <v>2016</v>
      </c>
      <c r="S29" s="84">
        <v>42639</v>
      </c>
      <c r="T29" s="84" t="s">
        <v>54</v>
      </c>
      <c r="U29" s="123">
        <v>2</v>
      </c>
      <c r="V29" s="101">
        <v>1.7879</v>
      </c>
      <c r="W29" s="87">
        <f t="shared" si="4"/>
        <v>-1638.4565999999847</v>
      </c>
      <c r="X29" s="87">
        <f t="shared" si="6"/>
        <v>-74.799999999999315</v>
      </c>
      <c r="Y29" s="173">
        <v>-1648.87</v>
      </c>
      <c r="Z29" s="134">
        <v>0</v>
      </c>
      <c r="AB29" s="106" t="s">
        <v>151</v>
      </c>
      <c r="AC29" s="181" t="s">
        <v>171</v>
      </c>
      <c r="AD29" s="181"/>
      <c r="AE29" s="181"/>
      <c r="AF29" s="181"/>
      <c r="AG29" s="181"/>
      <c r="AH29" s="181"/>
      <c r="AI29" s="181"/>
      <c r="AJ29" s="181"/>
      <c r="AK29" s="181"/>
      <c r="AL29" s="181"/>
      <c r="AM29" s="181"/>
      <c r="AN29" s="181"/>
    </row>
    <row r="30" spans="2:40">
      <c r="B30" s="82">
        <v>18</v>
      </c>
      <c r="C30" s="98">
        <f>C27+Y26+Z26+Y27+Z27</f>
        <v>95548.369999999981</v>
      </c>
      <c r="D30" s="83" t="s">
        <v>145</v>
      </c>
      <c r="E30" s="82">
        <v>2016</v>
      </c>
      <c r="F30" s="84">
        <v>42639</v>
      </c>
      <c r="G30" s="84" t="s">
        <v>54</v>
      </c>
      <c r="H30" s="82" t="s">
        <v>89</v>
      </c>
      <c r="I30" s="85">
        <v>0.95111999999999997</v>
      </c>
      <c r="J30" s="85">
        <v>0.95450000000000002</v>
      </c>
      <c r="K30" s="102">
        <f t="shared" si="3"/>
        <v>33.800000000000495</v>
      </c>
      <c r="L30" s="98">
        <f t="shared" si="1"/>
        <v>1910.9673999999995</v>
      </c>
      <c r="M30" s="99">
        <v>76.757000000000005</v>
      </c>
      <c r="N30" s="111">
        <f t="shared" si="2"/>
        <v>7365.777328637033</v>
      </c>
      <c r="O30" s="86">
        <v>3</v>
      </c>
      <c r="P30" s="110">
        <v>0.95111999999999997</v>
      </c>
      <c r="Q30" s="111">
        <v>7000</v>
      </c>
      <c r="R30" s="82">
        <v>2016</v>
      </c>
      <c r="S30" s="84">
        <v>42639</v>
      </c>
      <c r="T30" s="84" t="s">
        <v>54</v>
      </c>
      <c r="U30" s="123">
        <v>6</v>
      </c>
      <c r="V30" s="101">
        <v>0.95418000000000003</v>
      </c>
      <c r="W30" s="87">
        <f t="shared" si="4"/>
        <v>-1644.1349400000338</v>
      </c>
      <c r="X30" s="87">
        <f t="shared" si="6"/>
        <v>-30.600000000000627</v>
      </c>
      <c r="Y30" s="173">
        <v>-1652.17</v>
      </c>
      <c r="Z30" s="134">
        <v>0</v>
      </c>
      <c r="AB30" s="106" t="s">
        <v>152</v>
      </c>
      <c r="AC30" s="181" t="s">
        <v>172</v>
      </c>
      <c r="AD30" s="181"/>
      <c r="AE30" s="181"/>
      <c r="AF30" s="181"/>
      <c r="AG30" s="181"/>
      <c r="AH30" s="181"/>
      <c r="AI30" s="181"/>
      <c r="AJ30" s="181"/>
      <c r="AK30" s="181"/>
      <c r="AL30" s="181"/>
      <c r="AM30" s="181"/>
      <c r="AN30" s="181"/>
    </row>
    <row r="31" spans="2:40">
      <c r="B31" s="82">
        <v>19</v>
      </c>
      <c r="C31" s="98">
        <f>C27+Y26+Z26+Y27+Z27</f>
        <v>95548.369999999981</v>
      </c>
      <c r="D31" s="83" t="s">
        <v>146</v>
      </c>
      <c r="E31" s="82">
        <v>2016</v>
      </c>
      <c r="F31" s="84">
        <v>42639</v>
      </c>
      <c r="G31" s="84" t="s">
        <v>54</v>
      </c>
      <c r="H31" s="82" t="s">
        <v>89</v>
      </c>
      <c r="I31" s="85">
        <v>0.96901999999999999</v>
      </c>
      <c r="J31" s="85">
        <v>0.97031000000000001</v>
      </c>
      <c r="K31" s="102">
        <f t="shared" si="3"/>
        <v>12.900000000000134</v>
      </c>
      <c r="L31" s="98">
        <f t="shared" si="1"/>
        <v>1910.9673999999995</v>
      </c>
      <c r="M31" s="99">
        <v>104.214</v>
      </c>
      <c r="N31" s="111">
        <f t="shared" si="2"/>
        <v>14214.693587419772</v>
      </c>
      <c r="O31" s="86">
        <v>3</v>
      </c>
      <c r="P31" s="110">
        <v>0.96901000000000004</v>
      </c>
      <c r="Q31" s="111">
        <v>14000</v>
      </c>
      <c r="R31" s="82">
        <v>2016</v>
      </c>
      <c r="S31" s="84">
        <v>42639</v>
      </c>
      <c r="T31" s="84" t="s">
        <v>54</v>
      </c>
      <c r="U31" s="123">
        <v>2</v>
      </c>
      <c r="V31" s="101">
        <v>0.97033999999999998</v>
      </c>
      <c r="W31" s="87">
        <f t="shared" si="4"/>
        <v>-1940.4646799999161</v>
      </c>
      <c r="X31" s="87">
        <f t="shared" si="6"/>
        <v>-13.299999999999423</v>
      </c>
      <c r="Y31" s="173">
        <v>-1954.31</v>
      </c>
      <c r="Z31" s="134">
        <v>0</v>
      </c>
      <c r="AB31" s="106" t="s">
        <v>153</v>
      </c>
      <c r="AC31" s="181" t="s">
        <v>173</v>
      </c>
      <c r="AD31" s="181"/>
      <c r="AE31" s="181"/>
      <c r="AF31" s="181"/>
      <c r="AG31" s="181"/>
      <c r="AH31" s="181"/>
      <c r="AI31" s="181"/>
      <c r="AJ31" s="181"/>
      <c r="AK31" s="181"/>
      <c r="AL31" s="181"/>
      <c r="AM31" s="181"/>
      <c r="AN31" s="181"/>
    </row>
    <row r="32" spans="2:40">
      <c r="B32" s="140">
        <v>20</v>
      </c>
      <c r="C32" s="141">
        <f>C31+Y28+Z28+Y29+Z29+Y30+Z30+Y31+Z31</f>
        <v>88131.78</v>
      </c>
      <c r="D32" s="142" t="s">
        <v>148</v>
      </c>
      <c r="E32" s="140">
        <v>2016</v>
      </c>
      <c r="F32" s="143">
        <v>42639</v>
      </c>
      <c r="G32" s="143" t="s">
        <v>54</v>
      </c>
      <c r="H32" s="140" t="s">
        <v>50</v>
      </c>
      <c r="I32" s="144">
        <v>1.05318</v>
      </c>
      <c r="J32" s="144">
        <v>1.0504100000000001</v>
      </c>
      <c r="K32" s="145">
        <f t="shared" si="3"/>
        <v>27.699999999999392</v>
      </c>
      <c r="L32" s="141">
        <f t="shared" si="1"/>
        <v>1762.6356000000001</v>
      </c>
      <c r="M32" s="146">
        <v>72.774000000000001</v>
      </c>
      <c r="N32" s="147">
        <f t="shared" si="2"/>
        <v>8743.9269727685642</v>
      </c>
      <c r="O32" s="148">
        <v>1</v>
      </c>
      <c r="P32" s="149" t="s">
        <v>128</v>
      </c>
      <c r="Q32" s="147">
        <v>8000</v>
      </c>
      <c r="R32" s="140"/>
      <c r="S32" s="143"/>
      <c r="T32" s="143" t="s">
        <v>54</v>
      </c>
      <c r="U32" s="150"/>
      <c r="V32" s="151"/>
      <c r="W32" s="152"/>
      <c r="X32" s="152"/>
      <c r="Y32" s="153"/>
      <c r="Z32" s="153"/>
      <c r="AB32" s="106" t="s">
        <v>154</v>
      </c>
      <c r="AC32" s="181" t="s">
        <v>122</v>
      </c>
      <c r="AD32" s="181"/>
      <c r="AE32" s="181"/>
      <c r="AF32" s="181"/>
      <c r="AG32" s="181"/>
      <c r="AH32" s="181"/>
      <c r="AI32" s="181"/>
      <c r="AJ32" s="181"/>
      <c r="AK32" s="181"/>
      <c r="AL32" s="181"/>
      <c r="AM32" s="181"/>
      <c r="AN32" s="181"/>
    </row>
    <row r="33" spans="2:40">
      <c r="B33" s="82">
        <v>21</v>
      </c>
      <c r="C33" s="98">
        <f>C31+Y28+Z28+Y29+Z29+Y30+Z30+Y31+Z31</f>
        <v>88131.78</v>
      </c>
      <c r="D33" s="176" t="s">
        <v>149</v>
      </c>
      <c r="E33" s="82">
        <v>2016</v>
      </c>
      <c r="F33" s="84">
        <v>42639</v>
      </c>
      <c r="G33" s="84" t="s">
        <v>54</v>
      </c>
      <c r="H33" s="82" t="s">
        <v>50</v>
      </c>
      <c r="I33" s="85">
        <v>0.76212999999999997</v>
      </c>
      <c r="J33" s="85">
        <v>0.76078000000000001</v>
      </c>
      <c r="K33" s="102">
        <f t="shared" si="3"/>
        <v>13.499999999999623</v>
      </c>
      <c r="L33" s="98">
        <f t="shared" si="1"/>
        <v>1762.6356000000001</v>
      </c>
      <c r="M33" s="99">
        <v>100.5</v>
      </c>
      <c r="N33" s="111">
        <f t="shared" si="2"/>
        <v>12991.601990050114</v>
      </c>
      <c r="O33" s="86">
        <v>3</v>
      </c>
      <c r="P33" s="110">
        <v>0.76212999999999997</v>
      </c>
      <c r="Q33" s="111">
        <v>13000</v>
      </c>
      <c r="R33" s="82">
        <v>2016</v>
      </c>
      <c r="S33" s="84"/>
      <c r="T33" s="84" t="s">
        <v>54</v>
      </c>
      <c r="U33" s="123">
        <v>6</v>
      </c>
      <c r="V33" s="101">
        <v>0.76207999999999998</v>
      </c>
      <c r="W33" s="87">
        <f t="shared" si="4"/>
        <v>-65.324999999992812</v>
      </c>
      <c r="X33" s="87">
        <f t="shared" si="6"/>
        <v>-0.49999999999994493</v>
      </c>
      <c r="Y33" s="177">
        <v>-1763</v>
      </c>
      <c r="Z33" s="125">
        <f>8.81+21.58</f>
        <v>30.39</v>
      </c>
      <c r="AB33" s="106" t="s">
        <v>174</v>
      </c>
      <c r="AC33" s="181"/>
      <c r="AD33" s="181"/>
      <c r="AE33" s="181"/>
      <c r="AF33" s="181"/>
      <c r="AG33" s="181"/>
      <c r="AH33" s="181"/>
      <c r="AI33" s="181"/>
      <c r="AJ33" s="181"/>
      <c r="AK33" s="181"/>
      <c r="AL33" s="181"/>
      <c r="AM33" s="181"/>
      <c r="AN33" s="181"/>
    </row>
    <row r="34" spans="2:40">
      <c r="B34" s="82">
        <v>22</v>
      </c>
      <c r="C34" s="98">
        <f>C31+Y28+Z28+Y29+Z29+Y30+Z30+Y31+Z31</f>
        <v>88131.78</v>
      </c>
      <c r="D34" s="176" t="s">
        <v>150</v>
      </c>
      <c r="E34" s="82">
        <v>2016</v>
      </c>
      <c r="F34" s="84">
        <v>42639</v>
      </c>
      <c r="G34" s="84" t="s">
        <v>54</v>
      </c>
      <c r="H34" s="82" t="s">
        <v>50</v>
      </c>
      <c r="I34" s="85">
        <v>0.70384000000000002</v>
      </c>
      <c r="J34" s="85">
        <v>0.69974000000000003</v>
      </c>
      <c r="K34" s="102">
        <f t="shared" si="3"/>
        <v>40.999999999999929</v>
      </c>
      <c r="L34" s="98">
        <f t="shared" si="1"/>
        <v>1762.6356000000001</v>
      </c>
      <c r="M34" s="99">
        <v>103.79300000000001</v>
      </c>
      <c r="N34" s="111">
        <f t="shared" si="2"/>
        <v>4142.004970963555</v>
      </c>
      <c r="O34" s="86">
        <v>3</v>
      </c>
      <c r="P34" s="110">
        <v>0.70384000000000002</v>
      </c>
      <c r="Q34" s="111">
        <v>4000</v>
      </c>
      <c r="R34" s="82">
        <v>2016</v>
      </c>
      <c r="S34" s="84"/>
      <c r="T34" s="84" t="s">
        <v>54</v>
      </c>
      <c r="U34" s="123">
        <v>6</v>
      </c>
      <c r="V34" s="101">
        <v>0.70454000000000006</v>
      </c>
      <c r="W34" s="87">
        <f t="shared" si="4"/>
        <v>290.62040000001411</v>
      </c>
      <c r="X34" s="87">
        <f t="shared" si="6"/>
        <v>7.0000000000003393</v>
      </c>
      <c r="Y34" s="177">
        <v>-1763</v>
      </c>
      <c r="Z34" s="125">
        <f>3.51+13</f>
        <v>16.509999999999998</v>
      </c>
      <c r="AB34" s="106" t="s">
        <v>175</v>
      </c>
      <c r="AC34" s="181"/>
      <c r="AD34" s="181"/>
      <c r="AE34" s="181"/>
      <c r="AF34" s="181"/>
      <c r="AG34" s="181"/>
      <c r="AH34" s="181"/>
      <c r="AI34" s="181"/>
      <c r="AJ34" s="181"/>
      <c r="AK34" s="181"/>
      <c r="AL34" s="181"/>
      <c r="AM34" s="181"/>
      <c r="AN34" s="181"/>
    </row>
    <row r="35" spans="2:40">
      <c r="B35" s="82">
        <v>23</v>
      </c>
      <c r="C35" s="111">
        <f>C34+Y33+Z33+Y34+Z34</f>
        <v>84652.68</v>
      </c>
      <c r="D35" s="83" t="s">
        <v>163</v>
      </c>
      <c r="E35" s="82">
        <v>2016</v>
      </c>
      <c r="F35" s="84">
        <v>42640</v>
      </c>
      <c r="G35" s="84" t="s">
        <v>54</v>
      </c>
      <c r="H35" s="82" t="s">
        <v>89</v>
      </c>
      <c r="I35" s="85">
        <v>1.31656</v>
      </c>
      <c r="J35" s="85">
        <v>1.3261400000000001</v>
      </c>
      <c r="K35" s="102">
        <f t="shared" si="3"/>
        <v>95.800000000001432</v>
      </c>
      <c r="L35" s="98">
        <f t="shared" si="1"/>
        <v>1693.0536</v>
      </c>
      <c r="M35" s="99">
        <v>103.946</v>
      </c>
      <c r="N35" s="111">
        <f t="shared" si="2"/>
        <v>1700.1898408226566</v>
      </c>
      <c r="O35" s="86">
        <v>3</v>
      </c>
      <c r="P35" s="110">
        <v>1.3165500000000001</v>
      </c>
      <c r="Q35" s="111">
        <v>1700</v>
      </c>
      <c r="R35" s="82">
        <v>2016</v>
      </c>
      <c r="S35" s="84">
        <v>42640</v>
      </c>
      <c r="T35" s="84" t="s">
        <v>54</v>
      </c>
      <c r="U35" s="123">
        <v>2</v>
      </c>
      <c r="V35" s="101">
        <v>1.32616</v>
      </c>
      <c r="W35" s="87">
        <f t="shared" si="4"/>
        <v>-1698.1658019999818</v>
      </c>
      <c r="X35" s="87">
        <f t="shared" si="6"/>
        <v>-96.099999999998971</v>
      </c>
      <c r="Y35" s="134">
        <v>-1236.1099999999999</v>
      </c>
      <c r="Z35" s="132">
        <v>0</v>
      </c>
      <c r="AB35" s="106" t="s">
        <v>176</v>
      </c>
      <c r="AC35" s="181" t="s">
        <v>173</v>
      </c>
      <c r="AD35" s="181"/>
      <c r="AE35" s="181"/>
      <c r="AF35" s="181"/>
      <c r="AG35" s="181"/>
      <c r="AH35" s="181"/>
      <c r="AI35" s="181"/>
      <c r="AJ35" s="181"/>
      <c r="AK35" s="181"/>
      <c r="AL35" s="181"/>
      <c r="AM35" s="181"/>
      <c r="AN35" s="181"/>
    </row>
    <row r="36" spans="2:40">
      <c r="B36" s="82">
        <v>24</v>
      </c>
      <c r="C36" s="98">
        <f>C35+Y35+Z35</f>
        <v>83416.569999999992</v>
      </c>
      <c r="D36" s="176" t="s">
        <v>164</v>
      </c>
      <c r="E36" s="82">
        <v>2016</v>
      </c>
      <c r="F36" s="84">
        <v>42640</v>
      </c>
      <c r="G36" s="84" t="s">
        <v>54</v>
      </c>
      <c r="H36" s="82" t="s">
        <v>50</v>
      </c>
      <c r="I36" s="85">
        <v>0.97096000000000005</v>
      </c>
      <c r="J36" s="85">
        <v>0.96786000000000005</v>
      </c>
      <c r="K36" s="102">
        <f>ABS(I36-J36)*10000</f>
        <v>30.999999999999915</v>
      </c>
      <c r="L36" s="98">
        <f t="shared" si="1"/>
        <v>1668.3313999999998</v>
      </c>
      <c r="M36" s="99">
        <v>103.499</v>
      </c>
      <c r="N36" s="111">
        <f t="shared" si="2"/>
        <v>5199.774097864135</v>
      </c>
      <c r="O36" s="86">
        <v>1</v>
      </c>
      <c r="P36" s="110">
        <v>0.97097999999999995</v>
      </c>
      <c r="Q36" s="111">
        <v>5000</v>
      </c>
      <c r="R36" s="82">
        <v>2016</v>
      </c>
      <c r="S36" s="84"/>
      <c r="T36" s="84" t="s">
        <v>54</v>
      </c>
      <c r="U36" s="123"/>
      <c r="V36" s="101"/>
      <c r="W36" s="87">
        <f t="shared" si="4"/>
        <v>-502477.29509999993</v>
      </c>
      <c r="X36" s="87">
        <f t="shared" si="6"/>
        <v>-9709.7999999999993</v>
      </c>
      <c r="Y36" s="125"/>
      <c r="Z36" s="125"/>
      <c r="AB36" s="106" t="s">
        <v>177</v>
      </c>
      <c r="AC36" s="181"/>
      <c r="AD36" s="181"/>
      <c r="AE36" s="181"/>
      <c r="AF36" s="181"/>
      <c r="AG36" s="181"/>
      <c r="AH36" s="181"/>
      <c r="AI36" s="181"/>
      <c r="AJ36" s="181"/>
      <c r="AK36" s="181"/>
      <c r="AL36" s="181"/>
      <c r="AM36" s="181"/>
      <c r="AN36" s="181"/>
    </row>
    <row r="37" spans="2:40">
      <c r="B37" s="82">
        <v>25</v>
      </c>
      <c r="C37" s="98">
        <f t="shared" ref="C37:C44" si="7">C36+Y36+Z36</f>
        <v>83416.569999999992</v>
      </c>
      <c r="D37" s="176" t="s">
        <v>125</v>
      </c>
      <c r="E37" s="82">
        <v>2016</v>
      </c>
      <c r="F37" s="84">
        <v>42641</v>
      </c>
      <c r="G37" s="84" t="s">
        <v>54</v>
      </c>
      <c r="H37" s="82" t="s">
        <v>50</v>
      </c>
      <c r="I37" s="85">
        <v>73.331999999999994</v>
      </c>
      <c r="J37" s="85">
        <v>73.144999999999996</v>
      </c>
      <c r="K37" s="102">
        <f>ABS(I37-J37)*100</f>
        <v>18.699999999999761</v>
      </c>
      <c r="L37" s="98">
        <f t="shared" si="1"/>
        <v>1668.3313999999998</v>
      </c>
      <c r="M37" s="99">
        <v>73.331999999999994</v>
      </c>
      <c r="N37" s="100">
        <f t="shared" si="2"/>
        <v>12165.982502550274</v>
      </c>
      <c r="O37" s="86">
        <v>1</v>
      </c>
      <c r="P37" s="110">
        <v>73.331999999999994</v>
      </c>
      <c r="Q37" s="111">
        <v>12000</v>
      </c>
      <c r="R37" s="82">
        <v>2016</v>
      </c>
      <c r="S37" s="84"/>
      <c r="T37" s="84" t="s">
        <v>54</v>
      </c>
      <c r="U37" s="123"/>
      <c r="V37" s="101"/>
      <c r="W37" s="87">
        <f t="shared" si="4"/>
        <v>-64530986.687999986</v>
      </c>
      <c r="X37" s="87">
        <f t="shared" si="6"/>
        <v>-733319.99999999988</v>
      </c>
      <c r="Y37" s="125"/>
      <c r="Z37" s="125"/>
      <c r="AB37" s="106" t="s">
        <v>178</v>
      </c>
      <c r="AC37" s="181"/>
      <c r="AD37" s="181"/>
      <c r="AE37" s="181"/>
      <c r="AF37" s="181"/>
      <c r="AG37" s="181"/>
      <c r="AH37" s="181"/>
      <c r="AI37" s="181"/>
      <c r="AJ37" s="181"/>
      <c r="AK37" s="181"/>
      <c r="AL37" s="181"/>
      <c r="AM37" s="181"/>
      <c r="AN37" s="181"/>
    </row>
    <row r="38" spans="2:40">
      <c r="B38" s="82">
        <v>26</v>
      </c>
      <c r="C38" s="98">
        <f t="shared" si="7"/>
        <v>83416.569999999992</v>
      </c>
      <c r="D38" s="83"/>
      <c r="E38" s="82">
        <v>2016</v>
      </c>
      <c r="F38" s="84"/>
      <c r="G38" s="84" t="s">
        <v>54</v>
      </c>
      <c r="H38" s="82" t="s">
        <v>89</v>
      </c>
      <c r="I38" s="85"/>
      <c r="J38" s="85"/>
      <c r="K38" s="102">
        <f t="shared" ref="K38:K43" si="8">ABS(I38-J38)*10000</f>
        <v>0</v>
      </c>
      <c r="L38" s="98">
        <f t="shared" ref="L38:L43" si="9">C38*0.02</f>
        <v>1668.3313999999998</v>
      </c>
      <c r="M38" s="99"/>
      <c r="N38" s="100" t="e">
        <f t="shared" ref="N38:N43" si="10">L38/K38/M38*10000</f>
        <v>#DIV/0!</v>
      </c>
      <c r="O38" s="86"/>
      <c r="P38" s="110"/>
      <c r="Q38" s="111"/>
      <c r="R38" s="82">
        <v>2016</v>
      </c>
      <c r="S38" s="84"/>
      <c r="T38" s="84" t="s">
        <v>54</v>
      </c>
      <c r="U38" s="123"/>
      <c r="V38" s="101"/>
      <c r="W38" s="87">
        <f t="shared" ref="W38:W43" si="11">IF(H38="売",P38-V38,V38-P38)*Q38*M38</f>
        <v>0</v>
      </c>
      <c r="X38" s="87">
        <f t="shared" ref="X38:X43" si="12">IF(H38="売",P38-V38,V38-P38)*10000</f>
        <v>0</v>
      </c>
      <c r="Y38" s="125"/>
      <c r="Z38" s="125"/>
      <c r="AB38" s="106"/>
      <c r="AC38" s="181"/>
      <c r="AD38" s="181"/>
      <c r="AE38" s="181"/>
      <c r="AF38" s="181"/>
      <c r="AG38" s="181"/>
      <c r="AH38" s="181"/>
      <c r="AI38" s="181"/>
      <c r="AJ38" s="181"/>
      <c r="AK38" s="181"/>
      <c r="AL38" s="181"/>
      <c r="AM38" s="181"/>
      <c r="AN38" s="181"/>
    </row>
    <row r="39" spans="2:40">
      <c r="B39" s="82">
        <v>27</v>
      </c>
      <c r="C39" s="98">
        <f t="shared" si="7"/>
        <v>83416.569999999992</v>
      </c>
      <c r="D39" s="83"/>
      <c r="E39" s="82">
        <v>2016</v>
      </c>
      <c r="F39" s="84"/>
      <c r="G39" s="84" t="s">
        <v>54</v>
      </c>
      <c r="H39" s="82" t="s">
        <v>89</v>
      </c>
      <c r="I39" s="85"/>
      <c r="J39" s="85"/>
      <c r="K39" s="102">
        <f t="shared" si="8"/>
        <v>0</v>
      </c>
      <c r="L39" s="98">
        <f t="shared" si="9"/>
        <v>1668.3313999999998</v>
      </c>
      <c r="M39" s="99"/>
      <c r="N39" s="100" t="e">
        <f t="shared" si="10"/>
        <v>#DIV/0!</v>
      </c>
      <c r="O39" s="86"/>
      <c r="P39" s="110"/>
      <c r="Q39" s="111"/>
      <c r="R39" s="82">
        <v>2016</v>
      </c>
      <c r="S39" s="84"/>
      <c r="T39" s="84" t="s">
        <v>54</v>
      </c>
      <c r="U39" s="123"/>
      <c r="V39" s="101"/>
      <c r="W39" s="87">
        <f t="shared" si="11"/>
        <v>0</v>
      </c>
      <c r="X39" s="87">
        <f t="shared" si="12"/>
        <v>0</v>
      </c>
      <c r="Y39" s="125"/>
      <c r="Z39" s="125"/>
      <c r="AB39" s="106"/>
      <c r="AC39" s="181"/>
      <c r="AD39" s="181"/>
      <c r="AE39" s="181"/>
      <c r="AF39" s="181"/>
      <c r="AG39" s="181"/>
      <c r="AH39" s="181"/>
      <c r="AI39" s="181"/>
      <c r="AJ39" s="181"/>
      <c r="AK39" s="181"/>
      <c r="AL39" s="181"/>
      <c r="AM39" s="181"/>
      <c r="AN39" s="181"/>
    </row>
    <row r="40" spans="2:40">
      <c r="B40" s="82">
        <v>28</v>
      </c>
      <c r="C40" s="98">
        <f t="shared" si="7"/>
        <v>83416.569999999992</v>
      </c>
      <c r="D40" s="83"/>
      <c r="E40" s="82">
        <v>2016</v>
      </c>
      <c r="F40" s="84"/>
      <c r="G40" s="84" t="s">
        <v>54</v>
      </c>
      <c r="H40" s="82" t="s">
        <v>89</v>
      </c>
      <c r="I40" s="85"/>
      <c r="J40" s="85"/>
      <c r="K40" s="102">
        <f t="shared" si="8"/>
        <v>0</v>
      </c>
      <c r="L40" s="98">
        <f t="shared" si="9"/>
        <v>1668.3313999999998</v>
      </c>
      <c r="M40" s="99"/>
      <c r="N40" s="100" t="e">
        <f t="shared" si="10"/>
        <v>#DIV/0!</v>
      </c>
      <c r="O40" s="86"/>
      <c r="P40" s="110"/>
      <c r="Q40" s="111"/>
      <c r="R40" s="82">
        <v>2016</v>
      </c>
      <c r="S40" s="84"/>
      <c r="T40" s="84" t="s">
        <v>54</v>
      </c>
      <c r="U40" s="123"/>
      <c r="V40" s="101"/>
      <c r="W40" s="87">
        <f t="shared" si="11"/>
        <v>0</v>
      </c>
      <c r="X40" s="87">
        <f t="shared" si="12"/>
        <v>0</v>
      </c>
      <c r="Y40" s="125"/>
      <c r="Z40" s="125"/>
      <c r="AB40" s="106"/>
      <c r="AC40" s="181"/>
      <c r="AD40" s="181"/>
      <c r="AE40" s="181"/>
      <c r="AF40" s="181"/>
      <c r="AG40" s="181"/>
      <c r="AH40" s="181"/>
      <c r="AI40" s="181"/>
      <c r="AJ40" s="181"/>
      <c r="AK40" s="181"/>
      <c r="AL40" s="181"/>
      <c r="AM40" s="181"/>
      <c r="AN40" s="181"/>
    </row>
    <row r="41" spans="2:40">
      <c r="B41" s="82">
        <v>29</v>
      </c>
      <c r="C41" s="98">
        <f t="shared" si="7"/>
        <v>83416.569999999992</v>
      </c>
      <c r="D41" s="83"/>
      <c r="E41" s="82">
        <v>2016</v>
      </c>
      <c r="F41" s="84"/>
      <c r="G41" s="84" t="s">
        <v>54</v>
      </c>
      <c r="H41" s="82" t="s">
        <v>89</v>
      </c>
      <c r="I41" s="85"/>
      <c r="J41" s="85"/>
      <c r="K41" s="102">
        <f t="shared" si="8"/>
        <v>0</v>
      </c>
      <c r="L41" s="98">
        <f t="shared" si="9"/>
        <v>1668.3313999999998</v>
      </c>
      <c r="M41" s="99"/>
      <c r="N41" s="100" t="e">
        <f t="shared" si="10"/>
        <v>#DIV/0!</v>
      </c>
      <c r="O41" s="86"/>
      <c r="P41" s="110"/>
      <c r="Q41" s="111"/>
      <c r="R41" s="82">
        <v>2016</v>
      </c>
      <c r="S41" s="84"/>
      <c r="T41" s="84" t="s">
        <v>54</v>
      </c>
      <c r="U41" s="123"/>
      <c r="V41" s="101"/>
      <c r="W41" s="87">
        <f t="shared" si="11"/>
        <v>0</v>
      </c>
      <c r="X41" s="87">
        <f t="shared" si="12"/>
        <v>0</v>
      </c>
      <c r="Y41" s="125"/>
      <c r="Z41" s="125"/>
      <c r="AB41" s="106"/>
      <c r="AC41" s="181"/>
      <c r="AD41" s="181"/>
      <c r="AE41" s="181"/>
      <c r="AF41" s="181"/>
      <c r="AG41" s="181"/>
      <c r="AH41" s="181"/>
      <c r="AI41" s="181"/>
      <c r="AJ41" s="181"/>
      <c r="AK41" s="181"/>
      <c r="AL41" s="181"/>
      <c r="AM41" s="181"/>
      <c r="AN41" s="181"/>
    </row>
    <row r="42" spans="2:40">
      <c r="B42" s="82">
        <v>30</v>
      </c>
      <c r="C42" s="98">
        <f t="shared" si="7"/>
        <v>83416.569999999992</v>
      </c>
      <c r="D42" s="83"/>
      <c r="E42" s="82">
        <v>2016</v>
      </c>
      <c r="F42" s="84"/>
      <c r="G42" s="84" t="s">
        <v>54</v>
      </c>
      <c r="H42" s="82" t="s">
        <v>89</v>
      </c>
      <c r="I42" s="85"/>
      <c r="J42" s="85"/>
      <c r="K42" s="102">
        <f t="shared" si="8"/>
        <v>0</v>
      </c>
      <c r="L42" s="98">
        <f t="shared" si="9"/>
        <v>1668.3313999999998</v>
      </c>
      <c r="M42" s="99"/>
      <c r="N42" s="100" t="e">
        <f t="shared" si="10"/>
        <v>#DIV/0!</v>
      </c>
      <c r="O42" s="86"/>
      <c r="P42" s="110"/>
      <c r="Q42" s="111"/>
      <c r="R42" s="82">
        <v>2016</v>
      </c>
      <c r="S42" s="84"/>
      <c r="T42" s="84" t="s">
        <v>54</v>
      </c>
      <c r="U42" s="123"/>
      <c r="V42" s="101"/>
      <c r="W42" s="87">
        <f t="shared" si="11"/>
        <v>0</v>
      </c>
      <c r="X42" s="87">
        <f t="shared" si="12"/>
        <v>0</v>
      </c>
      <c r="Y42" s="125"/>
      <c r="Z42" s="125"/>
      <c r="AB42" s="106"/>
      <c r="AC42" s="181"/>
      <c r="AD42" s="181"/>
      <c r="AE42" s="181"/>
      <c r="AF42" s="181"/>
      <c r="AG42" s="181"/>
      <c r="AH42" s="181"/>
      <c r="AI42" s="181"/>
      <c r="AJ42" s="181"/>
      <c r="AK42" s="181"/>
      <c r="AL42" s="181"/>
      <c r="AM42" s="181"/>
      <c r="AN42" s="181"/>
    </row>
    <row r="43" spans="2:40">
      <c r="B43" s="82">
        <v>31</v>
      </c>
      <c r="C43" s="98">
        <f t="shared" si="7"/>
        <v>83416.569999999992</v>
      </c>
      <c r="D43" s="83"/>
      <c r="E43" s="82">
        <v>2016</v>
      </c>
      <c r="F43" s="84"/>
      <c r="G43" s="84" t="s">
        <v>54</v>
      </c>
      <c r="H43" s="82" t="s">
        <v>89</v>
      </c>
      <c r="I43" s="85"/>
      <c r="J43" s="85"/>
      <c r="K43" s="102">
        <f t="shared" si="8"/>
        <v>0</v>
      </c>
      <c r="L43" s="98">
        <f t="shared" si="9"/>
        <v>1668.3313999999998</v>
      </c>
      <c r="M43" s="99"/>
      <c r="N43" s="100" t="e">
        <f t="shared" si="10"/>
        <v>#DIV/0!</v>
      </c>
      <c r="O43" s="86"/>
      <c r="P43" s="110"/>
      <c r="Q43" s="111"/>
      <c r="R43" s="82">
        <v>2016</v>
      </c>
      <c r="S43" s="84"/>
      <c r="T43" s="84" t="s">
        <v>54</v>
      </c>
      <c r="U43" s="123"/>
      <c r="V43" s="101"/>
      <c r="W43" s="87">
        <f t="shared" si="11"/>
        <v>0</v>
      </c>
      <c r="X43" s="87">
        <f t="shared" si="12"/>
        <v>0</v>
      </c>
      <c r="Y43" s="125"/>
      <c r="Z43" s="125"/>
      <c r="AB43" s="106"/>
      <c r="AC43" s="181"/>
      <c r="AD43" s="181"/>
      <c r="AE43" s="181"/>
      <c r="AF43" s="181"/>
      <c r="AG43" s="181"/>
      <c r="AH43" s="181"/>
      <c r="AI43" s="181"/>
      <c r="AJ43" s="181"/>
      <c r="AK43" s="181"/>
      <c r="AL43" s="181"/>
      <c r="AM43" s="181"/>
      <c r="AN43" s="181"/>
    </row>
    <row r="44" spans="2:40">
      <c r="B44" s="82">
        <v>32</v>
      </c>
      <c r="C44" s="98">
        <f t="shared" si="7"/>
        <v>83416.569999999992</v>
      </c>
      <c r="D44" s="83"/>
      <c r="E44" s="82">
        <v>2016</v>
      </c>
      <c r="F44" s="84"/>
      <c r="G44" s="84" t="s">
        <v>54</v>
      </c>
      <c r="H44" s="82" t="s">
        <v>50</v>
      </c>
      <c r="I44" s="85"/>
      <c r="J44" s="85"/>
      <c r="K44" s="102">
        <f t="shared" si="3"/>
        <v>0</v>
      </c>
      <c r="L44" s="98">
        <f t="shared" si="1"/>
        <v>1668.3313999999998</v>
      </c>
      <c r="M44" s="99"/>
      <c r="N44" s="100" t="e">
        <f t="shared" si="2"/>
        <v>#DIV/0!</v>
      </c>
      <c r="O44" s="86"/>
      <c r="P44" s="110"/>
      <c r="Q44" s="111"/>
      <c r="R44" s="82">
        <v>2016</v>
      </c>
      <c r="S44" s="84"/>
      <c r="T44" s="84" t="s">
        <v>54</v>
      </c>
      <c r="U44" s="123"/>
      <c r="V44" s="101"/>
      <c r="W44" s="87">
        <f t="shared" si="4"/>
        <v>0</v>
      </c>
      <c r="X44" s="87">
        <f t="shared" si="6"/>
        <v>0</v>
      </c>
      <c r="Y44" s="125"/>
      <c r="Z44" s="125"/>
      <c r="AB44" s="106"/>
      <c r="AC44" s="181"/>
      <c r="AD44" s="181"/>
      <c r="AE44" s="181"/>
      <c r="AF44" s="181"/>
      <c r="AG44" s="181"/>
      <c r="AH44" s="181"/>
      <c r="AI44" s="181"/>
      <c r="AJ44" s="181"/>
      <c r="AK44" s="181"/>
      <c r="AL44" s="181"/>
      <c r="AM44" s="181"/>
      <c r="AN44" s="181"/>
    </row>
    <row r="45" spans="2:40">
      <c r="Y45" s="97"/>
    </row>
    <row r="47" spans="2:40">
      <c r="C47" s="205" t="s">
        <v>74</v>
      </c>
      <c r="D47" s="205"/>
      <c r="E47" s="205"/>
      <c r="F47" s="205"/>
      <c r="G47" s="205"/>
      <c r="H47" s="205"/>
      <c r="I47" s="97"/>
      <c r="J47" s="186" t="s">
        <v>23</v>
      </c>
      <c r="K47" s="186"/>
      <c r="L47" s="186"/>
      <c r="M47" s="186"/>
      <c r="N47" s="186"/>
      <c r="O47" s="186"/>
      <c r="P47" s="186"/>
      <c r="Q47" s="186"/>
      <c r="R47" s="186"/>
    </row>
    <row r="48" spans="2:40" ht="19.5" thickBot="1">
      <c r="C48" s="206" t="s">
        <v>28</v>
      </c>
      <c r="D48" s="205" t="s">
        <v>130</v>
      </c>
      <c r="E48" s="205"/>
      <c r="F48" s="206"/>
      <c r="G48" s="205" t="s">
        <v>131</v>
      </c>
      <c r="H48" s="205"/>
      <c r="I48" s="97"/>
      <c r="J48" s="195" t="s">
        <v>82</v>
      </c>
      <c r="K48" s="195"/>
      <c r="L48" s="121" t="s">
        <v>78</v>
      </c>
      <c r="M48" s="121" t="s">
        <v>79</v>
      </c>
      <c r="N48" s="121" t="s">
        <v>80</v>
      </c>
      <c r="O48" s="183" t="s">
        <v>116</v>
      </c>
      <c r="P48" s="183"/>
      <c r="Q48" s="183" t="s">
        <v>117</v>
      </c>
      <c r="R48" s="183"/>
    </row>
    <row r="49" spans="3:18" ht="19.5" thickTop="1">
      <c r="C49" s="207"/>
      <c r="D49" s="156" t="s">
        <v>75</v>
      </c>
      <c r="E49" s="162" t="s">
        <v>76</v>
      </c>
      <c r="F49" s="168" t="s">
        <v>134</v>
      </c>
      <c r="G49" s="163" t="s">
        <v>132</v>
      </c>
      <c r="H49" s="156" t="s">
        <v>133</v>
      </c>
      <c r="I49" s="97"/>
      <c r="J49" s="196" t="s">
        <v>83</v>
      </c>
      <c r="K49" s="196"/>
      <c r="L49" s="120">
        <f>COUNTIFS($O$13:$O$44,"=1",$H$13:$H$44,"=買")</f>
        <v>9</v>
      </c>
      <c r="M49" s="120">
        <f>COUNTIFS($O$13:$O44,"=1",$H$13:$H$44,"=売")</f>
        <v>7</v>
      </c>
      <c r="N49" s="120">
        <f t="shared" ref="N49:N50" si="13">L49+M49</f>
        <v>16</v>
      </c>
      <c r="O49" s="184">
        <f>SUMIF($O$13:$O$44,"=1",$X$13:$X$44)/N49</f>
        <v>-46198.856249999997</v>
      </c>
      <c r="P49" s="184"/>
      <c r="Q49" s="184">
        <f>SUMIF($O$13:$O$44,"=1",$X$13:$X$44)</f>
        <v>-739181.7</v>
      </c>
      <c r="R49" s="184"/>
    </row>
    <row r="50" spans="3:18">
      <c r="C50" s="154" t="s">
        <v>87</v>
      </c>
      <c r="D50" s="161">
        <f>COUNTIFS($D$13:$D$44,C50,$H$13:$H$44,"買")-G50</f>
        <v>1</v>
      </c>
      <c r="E50" s="164">
        <f>COUNTIFS($D$13:$D$44,C50,$H$13:$H$44,"売")-H50</f>
        <v>1</v>
      </c>
      <c r="F50" s="169">
        <f>D50+E50</f>
        <v>2</v>
      </c>
      <c r="G50" s="166">
        <f>COUNTIFS($D$13:$D$44,C50,$H$13:$H$44,"買",$P$13:$P$44,"cancel")</f>
        <v>1</v>
      </c>
      <c r="H50" s="154">
        <f t="shared" ref="H50:H68" si="14">COUNTIFS($D$13:$D$44,C50,$H$13:$H$44,"売",$P$13:$P$44,"cancel")</f>
        <v>0</v>
      </c>
      <c r="I50" s="97"/>
      <c r="J50" s="197" t="s">
        <v>84</v>
      </c>
      <c r="K50" s="197"/>
      <c r="L50" s="138">
        <f>COUNTIFS($O$13:$O$44,"=2",$H$13:$H$44,"=買")</f>
        <v>2</v>
      </c>
      <c r="M50" s="138">
        <f>COUNTIFS($O$13:$O$44,"=2",$H$13:$H$44,"=売")</f>
        <v>0</v>
      </c>
      <c r="N50" s="138">
        <f t="shared" si="13"/>
        <v>2</v>
      </c>
      <c r="O50" s="182">
        <f>SUMIF($O$13:$O$44,"=2",$X$13:$X$44)/N50</f>
        <v>6.4000000000002943</v>
      </c>
      <c r="P50" s="182"/>
      <c r="Q50" s="182">
        <f>SUMIF($O$13:$O$44,"=2",$X$13:$X$44)</f>
        <v>12.800000000000589</v>
      </c>
      <c r="R50" s="182"/>
    </row>
    <row r="51" spans="3:18">
      <c r="C51" s="175" t="s">
        <v>155</v>
      </c>
      <c r="D51" s="161">
        <f>COUNTIFS($D$13:$D$44,C51,$H$13:$H$44,"買")-G51</f>
        <v>0</v>
      </c>
      <c r="E51" s="164">
        <f>COUNTIFS($D$13:$D$44,C51,$H$13:$H$44,"売")-H51</f>
        <v>1</v>
      </c>
      <c r="F51" s="169">
        <f>D51+E51</f>
        <v>1</v>
      </c>
      <c r="G51" s="166">
        <f>COUNTIFS($D$13:$D$44,C51,$H$13:$H$44,"買",$P$13:$P$44,"cancel")</f>
        <v>0</v>
      </c>
      <c r="H51" s="175">
        <f t="shared" ref="H51" si="15">COUNTIFS($D$13:$D$44,C51,$H$13:$H$44,"売",$P$13:$P$44,"cancel")</f>
        <v>0</v>
      </c>
      <c r="I51" s="97"/>
      <c r="J51" s="197" t="s">
        <v>162</v>
      </c>
      <c r="K51" s="197"/>
      <c r="L51" s="175">
        <f>COUNTIFS($O$13:$O$44,"=3",$H$13:$H$44,"=買")</f>
        <v>3</v>
      </c>
      <c r="M51" s="175">
        <f>COUNTIFS($O$13:$O$44,"=3",$H$13:$H$44,"=売")</f>
        <v>4</v>
      </c>
      <c r="N51" s="175">
        <f t="shared" ref="N51" si="16">L51+M51</f>
        <v>7</v>
      </c>
      <c r="O51" s="182">
        <f>SUMIF($O$13:$O$44,"=3",$X$13:$X$44)/N51</f>
        <v>-161.18571428571224</v>
      </c>
      <c r="P51" s="182"/>
      <c r="Q51" s="182">
        <f>SUMIF($O$13:$O$44,"=3",$X$13:$X$44)</f>
        <v>-1128.2999999999856</v>
      </c>
      <c r="R51" s="182"/>
    </row>
    <row r="52" spans="3:18">
      <c r="C52" s="175" t="s">
        <v>160</v>
      </c>
      <c r="D52" s="161">
        <f>COUNTIFS($D$13:$D$44,C52,$H$13:$H$44,"買")-G52</f>
        <v>0</v>
      </c>
      <c r="E52" s="164">
        <f>COUNTIFS($D$13:$D$44,C52,$H$13:$H$44,"売")-H52</f>
        <v>0</v>
      </c>
      <c r="F52" s="169">
        <f>D52+E52</f>
        <v>0</v>
      </c>
      <c r="G52" s="166">
        <f>COUNTIFS($D$13:$D$44,C52,$H$13:$H$44,"買",$P$13:$P$44,"cancel")</f>
        <v>1</v>
      </c>
      <c r="H52" s="175">
        <f t="shared" ref="H52" si="17">COUNTIFS($D$13:$D$44,C52,$H$13:$H$44,"売",$P$13:$P$44,"cancel")</f>
        <v>0</v>
      </c>
      <c r="I52" s="97"/>
      <c r="J52" s="187" t="s">
        <v>24</v>
      </c>
      <c r="K52" s="187"/>
      <c r="L52" s="137"/>
      <c r="M52" s="137"/>
      <c r="N52" s="138"/>
      <c r="O52" s="182"/>
      <c r="P52" s="182"/>
      <c r="Q52" s="182"/>
      <c r="R52" s="182"/>
    </row>
    <row r="53" spans="3:18">
      <c r="C53" s="175" t="s">
        <v>161</v>
      </c>
      <c r="D53" s="161">
        <f>COUNTIFS($D$13:$D$44,C53,$H$13:$H$44,"買")-G53</f>
        <v>1</v>
      </c>
      <c r="E53" s="164">
        <f>COUNTIFS($D$13:$D$44,C53,$H$13:$H$44,"売")-H53</f>
        <v>0</v>
      </c>
      <c r="F53" s="169">
        <f>D53+E53</f>
        <v>1</v>
      </c>
      <c r="G53" s="166">
        <f>COUNTIFS($D$13:$D$44,C53,$H$13:$H$44,"買",$P$13:$P$44,"cancel")</f>
        <v>0</v>
      </c>
      <c r="H53" s="175">
        <f t="shared" ref="H53" si="18">COUNTIFS($D$13:$D$44,C53,$H$13:$H$44,"売",$P$13:$P$44,"cancel")</f>
        <v>0</v>
      </c>
      <c r="I53" s="97"/>
      <c r="J53" s="187" t="s">
        <v>81</v>
      </c>
      <c r="K53" s="187"/>
      <c r="L53" s="137"/>
      <c r="M53" s="137"/>
      <c r="N53" s="138"/>
      <c r="O53" s="182"/>
      <c r="P53" s="182"/>
      <c r="Q53" s="182"/>
      <c r="R53" s="182"/>
    </row>
    <row r="54" spans="3:18">
      <c r="C54" s="83" t="s">
        <v>90</v>
      </c>
      <c r="D54" s="161">
        <f t="shared" ref="D54:D68" si="19">COUNTIFS($D$13:$D$44,C54,$H$13:$H$44,"買")-G54</f>
        <v>0</v>
      </c>
      <c r="E54" s="164">
        <f t="shared" ref="E54:E68" si="20">COUNTIFS($D$13:$D$44,C54,$H$13:$H$44,"売")-H54</f>
        <v>1</v>
      </c>
      <c r="F54" s="169">
        <f t="shared" ref="F54:F68" si="21">D54+E54</f>
        <v>1</v>
      </c>
      <c r="G54" s="166">
        <f t="shared" ref="G54:G68" si="22">COUNTIFS($D$13:$D$44,C54,$H$13:$H$44,"買",$P$13:$P$44,"cancel")</f>
        <v>0</v>
      </c>
      <c r="H54" s="154">
        <f t="shared" si="14"/>
        <v>0</v>
      </c>
      <c r="I54" s="97"/>
      <c r="J54" s="187" t="s">
        <v>25</v>
      </c>
      <c r="K54" s="187"/>
      <c r="L54" s="137"/>
      <c r="M54" s="137"/>
      <c r="N54" s="138"/>
      <c r="O54" s="182"/>
      <c r="P54" s="182"/>
      <c r="Q54" s="182"/>
      <c r="R54" s="182"/>
    </row>
    <row r="55" spans="3:18">
      <c r="C55" s="83" t="s">
        <v>136</v>
      </c>
      <c r="D55" s="161">
        <f t="shared" ref="D55" si="23">COUNTIFS($D$13:$D$44,C55,$H$13:$H$44,"買")-G55</f>
        <v>0</v>
      </c>
      <c r="E55" s="164">
        <f t="shared" ref="E55" si="24">COUNTIFS($D$13:$D$44,C55,$H$13:$H$44,"売")-H55</f>
        <v>0</v>
      </c>
      <c r="F55" s="169">
        <f t="shared" ref="F55" si="25">D55+E55</f>
        <v>0</v>
      </c>
      <c r="G55" s="166">
        <f t="shared" ref="G55" si="26">COUNTIFS($D$13:$D$44,C55,$H$13:$H$44,"買",$P$13:$P$44,"cancel")</f>
        <v>1</v>
      </c>
      <c r="H55" s="154">
        <f t="shared" si="14"/>
        <v>0</v>
      </c>
      <c r="I55" s="97"/>
      <c r="J55" s="187" t="s">
        <v>26</v>
      </c>
      <c r="K55" s="187"/>
      <c r="L55" s="137"/>
      <c r="M55" s="137"/>
      <c r="N55" s="138"/>
      <c r="O55" s="182"/>
      <c r="P55" s="182"/>
      <c r="Q55" s="182"/>
      <c r="R55" s="182"/>
    </row>
    <row r="56" spans="3:18" ht="19.5" thickBot="1">
      <c r="C56" s="83" t="s">
        <v>91</v>
      </c>
      <c r="D56" s="161">
        <f t="shared" si="19"/>
        <v>0</v>
      </c>
      <c r="E56" s="164">
        <f t="shared" si="20"/>
        <v>1</v>
      </c>
      <c r="F56" s="169">
        <f t="shared" si="21"/>
        <v>1</v>
      </c>
      <c r="G56" s="166">
        <f t="shared" si="22"/>
        <v>0</v>
      </c>
      <c r="H56" s="154">
        <f t="shared" si="14"/>
        <v>0</v>
      </c>
      <c r="J56" s="188" t="s">
        <v>27</v>
      </c>
      <c r="K56" s="188"/>
      <c r="L56" s="122"/>
      <c r="M56" s="122"/>
      <c r="N56" s="122"/>
      <c r="O56" s="190"/>
      <c r="P56" s="190"/>
      <c r="Q56" s="182"/>
      <c r="R56" s="182"/>
    </row>
    <row r="57" spans="3:18" ht="19.5" thickTop="1">
      <c r="C57" s="83" t="s">
        <v>92</v>
      </c>
      <c r="D57" s="161">
        <f t="shared" si="19"/>
        <v>1</v>
      </c>
      <c r="E57" s="164">
        <f t="shared" si="20"/>
        <v>0</v>
      </c>
      <c r="F57" s="169">
        <f t="shared" si="21"/>
        <v>1</v>
      </c>
      <c r="G57" s="166">
        <f t="shared" si="22"/>
        <v>0</v>
      </c>
      <c r="H57" s="154">
        <f t="shared" si="14"/>
        <v>0</v>
      </c>
      <c r="J57" s="189" t="s">
        <v>22</v>
      </c>
      <c r="K57" s="189"/>
      <c r="L57" s="139">
        <f>SUM(L49:L56)</f>
        <v>14</v>
      </c>
      <c r="M57" s="139">
        <f>SUM(M49:M56)</f>
        <v>11</v>
      </c>
      <c r="N57" s="139">
        <f>SUM(N49:N56)</f>
        <v>25</v>
      </c>
      <c r="O57" s="185">
        <f>SUM(O49:P56)</f>
        <v>-46353.641964285707</v>
      </c>
      <c r="P57" s="185"/>
      <c r="Q57" s="185">
        <f>SUM(Q49:R56)</f>
        <v>-740297.19999999984</v>
      </c>
      <c r="R57" s="185"/>
    </row>
    <row r="58" spans="3:18">
      <c r="C58" s="83" t="s">
        <v>129</v>
      </c>
      <c r="D58" s="161">
        <f t="shared" si="19"/>
        <v>0</v>
      </c>
      <c r="E58" s="164">
        <f t="shared" si="20"/>
        <v>0</v>
      </c>
      <c r="F58" s="169">
        <f t="shared" si="21"/>
        <v>0</v>
      </c>
      <c r="G58" s="166">
        <f t="shared" si="22"/>
        <v>0</v>
      </c>
      <c r="H58" s="154">
        <f t="shared" si="14"/>
        <v>1</v>
      </c>
    </row>
    <row r="59" spans="3:18">
      <c r="C59" s="83" t="s">
        <v>137</v>
      </c>
      <c r="D59" s="161">
        <f t="shared" si="19"/>
        <v>0</v>
      </c>
      <c r="E59" s="164">
        <f t="shared" si="20"/>
        <v>0</v>
      </c>
      <c r="F59" s="169">
        <f t="shared" si="21"/>
        <v>0</v>
      </c>
      <c r="G59" s="166">
        <f t="shared" si="22"/>
        <v>1</v>
      </c>
      <c r="H59" s="154">
        <f t="shared" si="14"/>
        <v>0</v>
      </c>
    </row>
    <row r="60" spans="3:18">
      <c r="C60" s="83" t="s">
        <v>93</v>
      </c>
      <c r="D60" s="161">
        <f t="shared" si="19"/>
        <v>0</v>
      </c>
      <c r="E60" s="164">
        <f t="shared" si="20"/>
        <v>1</v>
      </c>
      <c r="F60" s="169">
        <f t="shared" si="21"/>
        <v>1</v>
      </c>
      <c r="G60" s="166">
        <f t="shared" si="22"/>
        <v>0</v>
      </c>
      <c r="H60" s="154">
        <f t="shared" si="14"/>
        <v>0</v>
      </c>
    </row>
    <row r="61" spans="3:18">
      <c r="C61" s="83" t="s">
        <v>156</v>
      </c>
      <c r="D61" s="161">
        <f t="shared" ref="D61:D62" si="27">COUNTIFS($D$13:$D$44,C61,$H$13:$H$44,"買")-G61</f>
        <v>1</v>
      </c>
      <c r="E61" s="164">
        <f t="shared" ref="E61:E62" si="28">COUNTIFS($D$13:$D$44,C61,$H$13:$H$44,"売")-H61</f>
        <v>0</v>
      </c>
      <c r="F61" s="169">
        <f t="shared" ref="F61:F62" si="29">D61+E61</f>
        <v>1</v>
      </c>
      <c r="G61" s="166">
        <f t="shared" ref="G61:G62" si="30">COUNTIFS($D$13:$D$44,C61,$H$13:$H$44,"買",$P$13:$P$44,"cancel")</f>
        <v>0</v>
      </c>
      <c r="H61" s="175">
        <f t="shared" ref="H61:H62" si="31">COUNTIFS($D$13:$D$44,C61,$H$13:$H$44,"売",$P$13:$P$44,"cancel")</f>
        <v>0</v>
      </c>
    </row>
    <row r="62" spans="3:18">
      <c r="C62" s="83" t="s">
        <v>158</v>
      </c>
      <c r="D62" s="161">
        <f t="shared" si="27"/>
        <v>0</v>
      </c>
      <c r="E62" s="164">
        <f t="shared" si="28"/>
        <v>1</v>
      </c>
      <c r="F62" s="169">
        <f t="shared" si="29"/>
        <v>1</v>
      </c>
      <c r="G62" s="166">
        <f t="shared" si="30"/>
        <v>0</v>
      </c>
      <c r="H62" s="175">
        <f t="shared" si="31"/>
        <v>0</v>
      </c>
    </row>
    <row r="63" spans="3:18">
      <c r="C63" s="154" t="s">
        <v>157</v>
      </c>
      <c r="D63" s="161">
        <f t="shared" si="19"/>
        <v>2</v>
      </c>
      <c r="E63" s="164">
        <f t="shared" si="20"/>
        <v>1</v>
      </c>
      <c r="F63" s="169">
        <f t="shared" si="21"/>
        <v>3</v>
      </c>
      <c r="G63" s="166">
        <f t="shared" si="22"/>
        <v>0</v>
      </c>
      <c r="H63" s="154">
        <f t="shared" si="14"/>
        <v>0</v>
      </c>
    </row>
    <row r="64" spans="3:18">
      <c r="C64" s="154" t="s">
        <v>135</v>
      </c>
      <c r="D64" s="161">
        <f t="shared" si="19"/>
        <v>0</v>
      </c>
      <c r="E64" s="164">
        <f t="shared" si="20"/>
        <v>0</v>
      </c>
      <c r="F64" s="169">
        <f t="shared" si="21"/>
        <v>0</v>
      </c>
      <c r="G64" s="166">
        <f t="shared" si="22"/>
        <v>2</v>
      </c>
      <c r="H64" s="154">
        <f t="shared" si="14"/>
        <v>0</v>
      </c>
    </row>
    <row r="65" spans="3:8">
      <c r="C65" s="154" t="s">
        <v>138</v>
      </c>
      <c r="D65" s="161">
        <f t="shared" si="19"/>
        <v>1</v>
      </c>
      <c r="E65" s="164">
        <f t="shared" si="20"/>
        <v>1</v>
      </c>
      <c r="F65" s="169">
        <f t="shared" si="21"/>
        <v>2</v>
      </c>
      <c r="G65" s="166">
        <f t="shared" si="22"/>
        <v>0</v>
      </c>
      <c r="H65" s="154">
        <f t="shared" si="14"/>
        <v>0</v>
      </c>
    </row>
    <row r="66" spans="3:8">
      <c r="C66" s="154" t="s">
        <v>159</v>
      </c>
      <c r="D66" s="161">
        <f t="shared" si="19"/>
        <v>1</v>
      </c>
      <c r="E66" s="164">
        <f t="shared" si="20"/>
        <v>1</v>
      </c>
      <c r="F66" s="169">
        <f t="shared" si="21"/>
        <v>2</v>
      </c>
      <c r="G66" s="166">
        <f t="shared" si="22"/>
        <v>0</v>
      </c>
      <c r="H66" s="154">
        <f t="shared" si="14"/>
        <v>0</v>
      </c>
    </row>
    <row r="67" spans="3:8">
      <c r="C67" s="154"/>
      <c r="D67" s="161">
        <f t="shared" si="19"/>
        <v>0</v>
      </c>
      <c r="E67" s="164">
        <f t="shared" si="20"/>
        <v>0</v>
      </c>
      <c r="F67" s="169">
        <f t="shared" si="21"/>
        <v>0</v>
      </c>
      <c r="G67" s="166">
        <f t="shared" si="22"/>
        <v>0</v>
      </c>
      <c r="H67" s="154">
        <f t="shared" si="14"/>
        <v>0</v>
      </c>
    </row>
    <row r="68" spans="3:8" ht="19.5" thickBot="1">
      <c r="C68" s="157"/>
      <c r="D68" s="161">
        <f t="shared" si="19"/>
        <v>0</v>
      </c>
      <c r="E68" s="164">
        <f t="shared" si="20"/>
        <v>0</v>
      </c>
      <c r="F68" s="170">
        <f t="shared" si="21"/>
        <v>0</v>
      </c>
      <c r="G68" s="166">
        <f t="shared" si="22"/>
        <v>0</v>
      </c>
      <c r="H68" s="157">
        <f t="shared" si="14"/>
        <v>0</v>
      </c>
    </row>
    <row r="69" spans="3:8" ht="20.25" thickTop="1" thickBot="1">
      <c r="C69" s="119" t="s">
        <v>77</v>
      </c>
      <c r="D69" s="160">
        <f>SUM(D50:D68)</f>
        <v>8</v>
      </c>
      <c r="E69" s="165">
        <f>SUM(E50:E68)</f>
        <v>9</v>
      </c>
      <c r="F69" s="171">
        <f>SUM(F50:F68)</f>
        <v>17</v>
      </c>
      <c r="G69" s="167">
        <f>SUM(G50:G68)</f>
        <v>6</v>
      </c>
      <c r="H69" s="155">
        <f>SUM(H50:H68)</f>
        <v>1</v>
      </c>
    </row>
    <row r="70" spans="3:8" ht="19.5" thickTop="1"/>
  </sheetData>
  <mergeCells count="98">
    <mergeCell ref="AC7:AK7"/>
    <mergeCell ref="E2:F2"/>
    <mergeCell ref="G2:I2"/>
    <mergeCell ref="AC18:AN18"/>
    <mergeCell ref="AC13:AN13"/>
    <mergeCell ref="AC14:AN14"/>
    <mergeCell ref="AC15:AN15"/>
    <mergeCell ref="AC16:AN16"/>
    <mergeCell ref="AC17:AN17"/>
    <mergeCell ref="K4:V4"/>
    <mergeCell ref="K3:V3"/>
    <mergeCell ref="G6:H6"/>
    <mergeCell ref="G7:H7"/>
    <mergeCell ref="G3:H3"/>
    <mergeCell ref="G4:H4"/>
    <mergeCell ref="G5:H5"/>
    <mergeCell ref="K2:V2"/>
    <mergeCell ref="G8:H8"/>
    <mergeCell ref="G9:H9"/>
    <mergeCell ref="Y11:Z11"/>
    <mergeCell ref="W11:X11"/>
    <mergeCell ref="E10:J10"/>
    <mergeCell ref="K10:M10"/>
    <mergeCell ref="E11:J11"/>
    <mergeCell ref="R11:V11"/>
    <mergeCell ref="O11:Q11"/>
    <mergeCell ref="B11:B12"/>
    <mergeCell ref="N11:N12"/>
    <mergeCell ref="J52:K52"/>
    <mergeCell ref="J53:K53"/>
    <mergeCell ref="J48:K48"/>
    <mergeCell ref="J49:K49"/>
    <mergeCell ref="J50:K50"/>
    <mergeCell ref="K11:L11"/>
    <mergeCell ref="C11:C12"/>
    <mergeCell ref="D11:D12"/>
    <mergeCell ref="M11:M12"/>
    <mergeCell ref="G48:H48"/>
    <mergeCell ref="C47:H47"/>
    <mergeCell ref="D48:F48"/>
    <mergeCell ref="C48:C49"/>
    <mergeCell ref="J51:K51"/>
    <mergeCell ref="AC19:AN19"/>
    <mergeCell ref="AC20:AN20"/>
    <mergeCell ref="AC21:AN21"/>
    <mergeCell ref="AC22:AN22"/>
    <mergeCell ref="AC23:AN23"/>
    <mergeCell ref="AC44:AN44"/>
    <mergeCell ref="AC24:AN24"/>
    <mergeCell ref="AC25:AN25"/>
    <mergeCell ref="AC26:AN26"/>
    <mergeCell ref="AC27:AN27"/>
    <mergeCell ref="AC28:AN28"/>
    <mergeCell ref="AC29:AN29"/>
    <mergeCell ref="AC30:AN30"/>
    <mergeCell ref="AC31:AN31"/>
    <mergeCell ref="AC32:AN32"/>
    <mergeCell ref="AC35:AN35"/>
    <mergeCell ref="AC33:AN33"/>
    <mergeCell ref="AC34:AN34"/>
    <mergeCell ref="AC36:AN36"/>
    <mergeCell ref="AC37:AN37"/>
    <mergeCell ref="AC38:AN38"/>
    <mergeCell ref="Q56:R56"/>
    <mergeCell ref="Q57:R57"/>
    <mergeCell ref="J47:R47"/>
    <mergeCell ref="Q48:R48"/>
    <mergeCell ref="Q49:R49"/>
    <mergeCell ref="Q50:R50"/>
    <mergeCell ref="Q52:R52"/>
    <mergeCell ref="Q53:R53"/>
    <mergeCell ref="J54:K54"/>
    <mergeCell ref="J55:K55"/>
    <mergeCell ref="J56:K56"/>
    <mergeCell ref="J57:K57"/>
    <mergeCell ref="O54:P54"/>
    <mergeCell ref="O55:P55"/>
    <mergeCell ref="O56:P56"/>
    <mergeCell ref="O57:P57"/>
    <mergeCell ref="Q54:R54"/>
    <mergeCell ref="Q55:R55"/>
    <mergeCell ref="O48:P48"/>
    <mergeCell ref="O49:P49"/>
    <mergeCell ref="O50:P50"/>
    <mergeCell ref="O52:P52"/>
    <mergeCell ref="O53:P53"/>
    <mergeCell ref="O51:P51"/>
    <mergeCell ref="Q51:R51"/>
    <mergeCell ref="AC39:AN39"/>
    <mergeCell ref="AC40:AN40"/>
    <mergeCell ref="AC41:AN41"/>
    <mergeCell ref="AC42:AN42"/>
    <mergeCell ref="AC43:AN43"/>
    <mergeCell ref="AC2:AK2"/>
    <mergeCell ref="AC3:AK3"/>
    <mergeCell ref="AC4:AK4"/>
    <mergeCell ref="AC5:AK5"/>
    <mergeCell ref="AC6:AK6"/>
  </mergeCells>
  <phoneticPr fontId="9"/>
  <conditionalFormatting sqref="H13:H31 H38:H44">
    <cfRule type="cellIs" dxfId="3" priority="13" stopIfTrue="1" operator="equal">
      <formula>"買"</formula>
    </cfRule>
    <cfRule type="cellIs" dxfId="2" priority="14" stopIfTrue="1" operator="equal">
      <formula>"売"</formula>
    </cfRule>
  </conditionalFormatting>
  <conditionalFormatting sqref="H32:H37">
    <cfRule type="cellIs" dxfId="1" priority="1" stopIfTrue="1" operator="equal">
      <formula>"買"</formula>
    </cfRule>
    <cfRule type="cellIs" dxfId="0" priority="2" stopIfTrue="1" operator="equal">
      <formula>"売"</formula>
    </cfRule>
  </conditionalFormatting>
  <dataValidations count="1">
    <dataValidation type="list" allowBlank="1" showInputMessage="1" showErrorMessage="1" sqref="H13:H44">
      <formula1>"買,売"</formula1>
    </dataValidation>
  </dataValidations>
  <pageMargins left="0.51181102362204722" right="0.51181102362204722" top="0.74803149606299213" bottom="0.74803149606299213" header="0.31496062992125984" footer="0.31496062992125984"/>
  <pageSetup paperSize="9" scale="37" fitToHeight="0" orientation="landscape" horizontalDpi="0" verticalDpi="0" r:id="rId1"/>
  <ignoredErrors>
    <ignoredError sqref="K17:K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heetViews>
  <sheetFormatPr defaultColWidth="8.875" defaultRowHeight="13.5"/>
  <sheetData/>
  <phoneticPr fontId="9"/>
  <pageMargins left="0.75" right="0.75" top="1" bottom="1" header="0.51111111111111107" footer="0.51111111111111107"/>
  <pageSetup paperSize="9" firstPageNumber="4294963191"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zoomScale="85" zoomScaleNormal="85" zoomScaleSheetLayoutView="100" workbookViewId="0"/>
  </sheetViews>
  <sheetFormatPr defaultColWidth="8.875" defaultRowHeight="13.5"/>
  <sheetData>
    <row r="1" spans="1:15" ht="14.25" thickBot="1"/>
    <row r="2" spans="1:15" ht="110.25" customHeight="1" thickTop="1">
      <c r="A2" s="228" t="s">
        <v>166</v>
      </c>
      <c r="B2" s="229"/>
      <c r="C2" s="229"/>
      <c r="D2" s="229"/>
      <c r="E2" s="229"/>
      <c r="F2" s="229"/>
      <c r="G2" s="229"/>
      <c r="H2" s="229"/>
      <c r="I2" s="229"/>
      <c r="J2" s="229"/>
      <c r="K2" s="229"/>
      <c r="L2" s="229"/>
      <c r="M2" s="229"/>
      <c r="N2" s="229"/>
      <c r="O2" s="230"/>
    </row>
    <row r="3" spans="1:15" ht="14.25" thickBot="1"/>
    <row r="4" spans="1:15" ht="170.25" customHeight="1" thickTop="1">
      <c r="A4" s="228" t="s">
        <v>168</v>
      </c>
      <c r="B4" s="229"/>
      <c r="C4" s="229"/>
      <c r="D4" s="229"/>
      <c r="E4" s="229"/>
      <c r="F4" s="229"/>
      <c r="G4" s="229"/>
      <c r="H4" s="229"/>
      <c r="I4" s="229"/>
      <c r="J4" s="229"/>
      <c r="K4" s="229"/>
      <c r="L4" s="229"/>
      <c r="M4" s="229"/>
      <c r="N4" s="229"/>
      <c r="O4" s="230"/>
    </row>
    <row r="5" spans="1:15" ht="53.25" customHeight="1">
      <c r="A5" s="231" t="s">
        <v>167</v>
      </c>
      <c r="B5" s="232"/>
      <c r="C5" s="232"/>
      <c r="D5" s="232"/>
      <c r="E5" s="232"/>
      <c r="F5" s="232"/>
      <c r="G5" s="232"/>
      <c r="H5" s="232"/>
      <c r="I5" s="232"/>
      <c r="J5" s="232"/>
      <c r="K5" s="232"/>
      <c r="L5" s="232"/>
      <c r="M5" s="232"/>
      <c r="N5" s="232"/>
      <c r="O5" s="233"/>
    </row>
    <row r="6" spans="1:15" ht="156.75" customHeight="1">
      <c r="A6" s="231" t="s">
        <v>169</v>
      </c>
      <c r="B6" s="232"/>
      <c r="C6" s="232"/>
      <c r="D6" s="232"/>
      <c r="E6" s="232"/>
      <c r="F6" s="232"/>
      <c r="G6" s="232"/>
      <c r="H6" s="232"/>
      <c r="I6" s="232"/>
      <c r="J6" s="232"/>
      <c r="K6" s="232"/>
      <c r="L6" s="232"/>
      <c r="M6" s="232"/>
      <c r="N6" s="232"/>
      <c r="O6" s="233"/>
    </row>
    <row r="7" spans="1:15" ht="228" customHeight="1" thickBot="1">
      <c r="A7" s="234" t="s">
        <v>170</v>
      </c>
      <c r="B7" s="235"/>
      <c r="C7" s="235"/>
      <c r="D7" s="235"/>
      <c r="E7" s="235"/>
      <c r="F7" s="235"/>
      <c r="G7" s="235"/>
      <c r="H7" s="235"/>
      <c r="I7" s="235"/>
      <c r="J7" s="235"/>
      <c r="K7" s="235"/>
      <c r="L7" s="235"/>
      <c r="M7" s="235"/>
      <c r="N7" s="235"/>
      <c r="O7" s="236"/>
    </row>
    <row r="8" spans="1:15" ht="14.25" customHeight="1" thickTop="1" thickBot="1">
      <c r="A8" s="130"/>
      <c r="B8" s="130"/>
      <c r="C8" s="130"/>
      <c r="D8" s="130"/>
      <c r="E8" s="130"/>
      <c r="F8" s="130"/>
      <c r="G8" s="130"/>
      <c r="H8" s="130"/>
      <c r="I8" s="130"/>
      <c r="J8" s="130"/>
    </row>
    <row r="9" spans="1:15" ht="171.75" customHeight="1" thickTop="1" thickBot="1">
      <c r="A9" s="225" t="s">
        <v>191</v>
      </c>
      <c r="B9" s="226"/>
      <c r="C9" s="226"/>
      <c r="D9" s="226"/>
      <c r="E9" s="226"/>
      <c r="F9" s="226"/>
      <c r="G9" s="226"/>
      <c r="H9" s="226"/>
      <c r="I9" s="226"/>
      <c r="J9" s="226"/>
      <c r="K9" s="226"/>
      <c r="L9" s="226"/>
      <c r="M9" s="226"/>
      <c r="N9" s="226"/>
      <c r="O9" s="227"/>
    </row>
    <row r="10" spans="1:15" ht="14.25" thickTop="1">
      <c r="A10" s="130"/>
      <c r="B10" s="130"/>
      <c r="C10" s="130"/>
      <c r="D10" s="130"/>
      <c r="E10" s="130"/>
      <c r="F10" s="130"/>
      <c r="G10" s="130"/>
      <c r="H10" s="130"/>
      <c r="I10" s="130"/>
      <c r="J10" s="130"/>
    </row>
  </sheetData>
  <mergeCells count="6">
    <mergeCell ref="A9:O9"/>
    <mergeCell ref="A2:O2"/>
    <mergeCell ref="A4:O4"/>
    <mergeCell ref="A5:O5"/>
    <mergeCell ref="A6:O6"/>
    <mergeCell ref="A7:O7"/>
  </mergeCells>
  <phoneticPr fontId="9"/>
  <pageMargins left="0.75" right="0.75" top="1" bottom="1" header="0.51111111111111107" footer="0.51111111111111107"/>
  <pageSetup paperSize="9" firstPageNumber="4294963191"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A7" zoomScaleSheetLayoutView="100" workbookViewId="0">
      <selection activeCell="C9" sqref="C9"/>
    </sheetView>
  </sheetViews>
  <sheetFormatPr defaultColWidth="10" defaultRowHeight="13.5" customHeight="1"/>
  <cols>
    <col min="1" max="1" width="22.75" customWidth="1"/>
    <col min="2" max="2" width="13.625" customWidth="1"/>
    <col min="3" max="3" width="13.875" customWidth="1"/>
    <col min="4" max="4" width="15.625" customWidth="1"/>
    <col min="5" max="5" width="12.375" customWidth="1"/>
    <col min="6" max="6" width="12.25" customWidth="1"/>
    <col min="7" max="7" width="13.25" customWidth="1"/>
    <col min="9" max="9" width="15.75" customWidth="1"/>
    <col min="10" max="10" width="13.125" customWidth="1"/>
    <col min="11" max="11" width="15.5" customWidth="1"/>
    <col min="12" max="12" width="17.625" customWidth="1"/>
  </cols>
  <sheetData>
    <row r="1" spans="1:12" ht="19.5" customHeight="1">
      <c r="A1" s="76"/>
      <c r="B1" s="237" t="s">
        <v>0</v>
      </c>
      <c r="C1" s="238"/>
      <c r="D1" s="239"/>
      <c r="E1" s="75"/>
      <c r="F1" s="240" t="s">
        <v>0</v>
      </c>
      <c r="G1" s="241"/>
      <c r="H1" s="77"/>
    </row>
    <row r="2" spans="1:12" ht="25.5" customHeight="1">
      <c r="A2" s="78" t="s">
        <v>1</v>
      </c>
      <c r="B2" s="242">
        <v>3000000</v>
      </c>
      <c r="C2" s="242"/>
      <c r="D2" s="242"/>
      <c r="E2" s="19" t="s">
        <v>2</v>
      </c>
      <c r="F2" s="243">
        <v>41609</v>
      </c>
      <c r="G2" s="244"/>
      <c r="H2" s="1"/>
      <c r="I2" s="1"/>
    </row>
    <row r="3" spans="1:12" ht="27" customHeight="1">
      <c r="A3" s="2" t="s">
        <v>3</v>
      </c>
      <c r="B3" s="245">
        <f>SUM(B2+D17)</f>
        <v>3020000</v>
      </c>
      <c r="C3" s="245"/>
      <c r="D3" s="246"/>
      <c r="E3" s="3" t="s">
        <v>4</v>
      </c>
      <c r="F3" s="4">
        <v>0.02</v>
      </c>
      <c r="G3" s="5">
        <f>B3*F3</f>
        <v>60400</v>
      </c>
      <c r="H3" s="7" t="s">
        <v>5</v>
      </c>
      <c r="I3" s="8">
        <f>(B3-B2)</f>
        <v>20000</v>
      </c>
      <c r="K3" s="79"/>
    </row>
    <row r="4" spans="1:12" s="58" customFormat="1" ht="17.25" customHeight="1">
      <c r="A4" s="53"/>
      <c r="B4" s="54"/>
      <c r="C4" s="54"/>
      <c r="D4" s="54"/>
      <c r="E4" s="55"/>
      <c r="F4" s="74" t="s">
        <v>0</v>
      </c>
      <c r="G4" s="54"/>
      <c r="H4" s="56"/>
      <c r="I4" s="57"/>
    </row>
    <row r="5" spans="1:12" ht="39" customHeight="1">
      <c r="A5" s="59"/>
      <c r="B5" s="60"/>
      <c r="C5" s="60"/>
      <c r="D5" s="72"/>
      <c r="E5" s="61"/>
      <c r="F5" s="73"/>
      <c r="G5" s="60"/>
      <c r="H5" s="62"/>
      <c r="I5" s="63"/>
      <c r="J5" s="64"/>
      <c r="K5" s="65"/>
      <c r="L5" s="65"/>
    </row>
    <row r="6" spans="1:12" ht="21" customHeight="1">
      <c r="A6" s="69" t="s">
        <v>6</v>
      </c>
      <c r="B6" s="67" t="s">
        <v>0</v>
      </c>
      <c r="C6" s="67" t="s">
        <v>0</v>
      </c>
      <c r="D6" s="68"/>
      <c r="E6" s="67" t="s">
        <v>0</v>
      </c>
      <c r="F6" s="70" t="s">
        <v>0</v>
      </c>
      <c r="G6" s="6"/>
      <c r="H6" s="1"/>
      <c r="I6" s="1"/>
      <c r="L6" s="66"/>
    </row>
    <row r="7" spans="1:12" ht="28.5">
      <c r="A7" s="71" t="s">
        <v>7</v>
      </c>
      <c r="B7" s="13" t="s">
        <v>8</v>
      </c>
      <c r="C7" s="14" t="s">
        <v>9</v>
      </c>
      <c r="D7" s="15" t="s">
        <v>10</v>
      </c>
      <c r="E7" s="16" t="s">
        <v>11</v>
      </c>
      <c r="F7" s="14" t="s">
        <v>12</v>
      </c>
      <c r="G7" s="16" t="s">
        <v>13</v>
      </c>
      <c r="H7" s="15" t="s">
        <v>14</v>
      </c>
      <c r="I7" s="17" t="s">
        <v>15</v>
      </c>
      <c r="J7" s="20" t="s">
        <v>16</v>
      </c>
      <c r="K7" s="14" t="s">
        <v>17</v>
      </c>
      <c r="L7" s="18" t="s">
        <v>18</v>
      </c>
    </row>
    <row r="8" spans="1:12" ht="24.95" customHeight="1">
      <c r="A8" s="10">
        <v>42095</v>
      </c>
      <c r="B8" s="21">
        <v>20000</v>
      </c>
      <c r="C8" s="22"/>
      <c r="D8" s="40">
        <f t="shared" ref="D8:D16" si="0">SUM(B8-C8)</f>
        <v>20000</v>
      </c>
      <c r="E8" s="23"/>
      <c r="F8" s="24"/>
      <c r="G8" s="23">
        <f t="shared" ref="G8:G16" si="1">SUM(E8+F8)</f>
        <v>0</v>
      </c>
      <c r="H8" s="25" t="e">
        <f t="shared" ref="H8:H16" si="2">E8/G8</f>
        <v>#DIV/0!</v>
      </c>
      <c r="I8" s="26" t="e">
        <f t="shared" ref="I8:I16" si="3">B8/E8</f>
        <v>#DIV/0!</v>
      </c>
      <c r="J8" s="26" t="e">
        <f t="shared" ref="J8:J16" si="4">C8/F8</f>
        <v>#DIV/0!</v>
      </c>
      <c r="K8" s="27" t="e">
        <f t="shared" ref="K8:K16" si="5">I8/J8</f>
        <v>#DIV/0!</v>
      </c>
      <c r="L8" s="28" t="e">
        <f t="shared" ref="L8:L16" si="6">B8/C8</f>
        <v>#DIV/0!</v>
      </c>
    </row>
    <row r="9" spans="1:12" ht="24.95" customHeight="1">
      <c r="A9" s="11">
        <v>42125</v>
      </c>
      <c r="B9" s="29"/>
      <c r="C9" s="30"/>
      <c r="D9" s="40">
        <f t="shared" si="0"/>
        <v>0</v>
      </c>
      <c r="E9" s="31"/>
      <c r="F9" s="31"/>
      <c r="G9" s="23">
        <f t="shared" si="1"/>
        <v>0</v>
      </c>
      <c r="H9" s="25" t="e">
        <f t="shared" si="2"/>
        <v>#DIV/0!</v>
      </c>
      <c r="I9" s="26" t="e">
        <f t="shared" si="3"/>
        <v>#DIV/0!</v>
      </c>
      <c r="J9" s="26" t="e">
        <f t="shared" si="4"/>
        <v>#DIV/0!</v>
      </c>
      <c r="K9" s="27" t="e">
        <f t="shared" si="5"/>
        <v>#DIV/0!</v>
      </c>
      <c r="L9" s="28" t="e">
        <f t="shared" si="6"/>
        <v>#DIV/0!</v>
      </c>
    </row>
    <row r="10" spans="1:12" ht="24.95" customHeight="1">
      <c r="A10" s="10">
        <v>42156</v>
      </c>
      <c r="B10" s="29"/>
      <c r="C10" s="30"/>
      <c r="D10" s="40">
        <f t="shared" si="0"/>
        <v>0</v>
      </c>
      <c r="E10" s="31"/>
      <c r="F10" s="31"/>
      <c r="G10" s="23">
        <f t="shared" si="1"/>
        <v>0</v>
      </c>
      <c r="H10" s="25" t="e">
        <f t="shared" si="2"/>
        <v>#DIV/0!</v>
      </c>
      <c r="I10" s="26" t="e">
        <f t="shared" si="3"/>
        <v>#DIV/0!</v>
      </c>
      <c r="J10" s="26" t="e">
        <f t="shared" si="4"/>
        <v>#DIV/0!</v>
      </c>
      <c r="K10" s="27" t="e">
        <f t="shared" si="5"/>
        <v>#DIV/0!</v>
      </c>
      <c r="L10" s="28" t="e">
        <f t="shared" si="6"/>
        <v>#DIV/0!</v>
      </c>
    </row>
    <row r="11" spans="1:12" ht="24.95" customHeight="1">
      <c r="A11" s="11">
        <v>42186</v>
      </c>
      <c r="B11" s="29"/>
      <c r="C11" s="30"/>
      <c r="D11" s="40">
        <f t="shared" si="0"/>
        <v>0</v>
      </c>
      <c r="E11" s="31"/>
      <c r="F11" s="31"/>
      <c r="G11" s="23">
        <f t="shared" si="1"/>
        <v>0</v>
      </c>
      <c r="H11" s="25" t="e">
        <f t="shared" si="2"/>
        <v>#DIV/0!</v>
      </c>
      <c r="I11" s="26" t="e">
        <f t="shared" si="3"/>
        <v>#DIV/0!</v>
      </c>
      <c r="J11" s="26" t="e">
        <f t="shared" si="4"/>
        <v>#DIV/0!</v>
      </c>
      <c r="K11" s="27" t="e">
        <f t="shared" si="5"/>
        <v>#DIV/0!</v>
      </c>
      <c r="L11" s="28" t="e">
        <f t="shared" si="6"/>
        <v>#DIV/0!</v>
      </c>
    </row>
    <row r="12" spans="1:12" ht="24.95" customHeight="1">
      <c r="A12" s="10">
        <v>42217</v>
      </c>
      <c r="B12" s="29"/>
      <c r="C12" s="22"/>
      <c r="D12" s="40">
        <f t="shared" si="0"/>
        <v>0</v>
      </c>
      <c r="E12" s="31"/>
      <c r="F12" s="31"/>
      <c r="G12" s="23">
        <f t="shared" si="1"/>
        <v>0</v>
      </c>
      <c r="H12" s="25" t="e">
        <f t="shared" si="2"/>
        <v>#DIV/0!</v>
      </c>
      <c r="I12" s="26" t="e">
        <f t="shared" si="3"/>
        <v>#DIV/0!</v>
      </c>
      <c r="J12" s="26" t="e">
        <f t="shared" si="4"/>
        <v>#DIV/0!</v>
      </c>
      <c r="K12" s="27" t="e">
        <f t="shared" si="5"/>
        <v>#DIV/0!</v>
      </c>
      <c r="L12" s="28" t="e">
        <f t="shared" si="6"/>
        <v>#DIV/0!</v>
      </c>
    </row>
    <row r="13" spans="1:12" ht="24.95" customHeight="1">
      <c r="A13" s="11">
        <v>42248</v>
      </c>
      <c r="B13" s="29"/>
      <c r="C13" s="30"/>
      <c r="D13" s="40">
        <f t="shared" si="0"/>
        <v>0</v>
      </c>
      <c r="E13" s="31"/>
      <c r="F13" s="31"/>
      <c r="G13" s="23">
        <f t="shared" si="1"/>
        <v>0</v>
      </c>
      <c r="H13" s="25" t="e">
        <f t="shared" si="2"/>
        <v>#DIV/0!</v>
      </c>
      <c r="I13" s="26" t="e">
        <f t="shared" si="3"/>
        <v>#DIV/0!</v>
      </c>
      <c r="J13" s="26" t="e">
        <f t="shared" si="4"/>
        <v>#DIV/0!</v>
      </c>
      <c r="K13" s="27" t="e">
        <f t="shared" si="5"/>
        <v>#DIV/0!</v>
      </c>
      <c r="L13" s="28" t="e">
        <f t="shared" si="6"/>
        <v>#DIV/0!</v>
      </c>
    </row>
    <row r="14" spans="1:12" ht="24.95" customHeight="1">
      <c r="A14" s="10">
        <v>42278</v>
      </c>
      <c r="B14" s="29"/>
      <c r="C14" s="22"/>
      <c r="D14" s="40">
        <f t="shared" si="0"/>
        <v>0</v>
      </c>
      <c r="E14" s="31"/>
      <c r="F14" s="31"/>
      <c r="G14" s="23">
        <f t="shared" si="1"/>
        <v>0</v>
      </c>
      <c r="H14" s="25" t="e">
        <f t="shared" si="2"/>
        <v>#DIV/0!</v>
      </c>
      <c r="I14" s="26" t="e">
        <f t="shared" si="3"/>
        <v>#DIV/0!</v>
      </c>
      <c r="J14" s="26" t="e">
        <f t="shared" si="4"/>
        <v>#DIV/0!</v>
      </c>
      <c r="K14" s="27" t="e">
        <f t="shared" si="5"/>
        <v>#DIV/0!</v>
      </c>
      <c r="L14" s="28" t="e">
        <f t="shared" si="6"/>
        <v>#DIV/0!</v>
      </c>
    </row>
    <row r="15" spans="1:12" ht="24.95" customHeight="1">
      <c r="A15" s="11">
        <v>42309</v>
      </c>
      <c r="B15" s="29"/>
      <c r="C15" s="22"/>
      <c r="D15" s="40">
        <f t="shared" si="0"/>
        <v>0</v>
      </c>
      <c r="E15" s="31"/>
      <c r="F15" s="31"/>
      <c r="G15" s="23">
        <f t="shared" si="1"/>
        <v>0</v>
      </c>
      <c r="H15" s="25" t="e">
        <f t="shared" si="2"/>
        <v>#DIV/0!</v>
      </c>
      <c r="I15" s="26" t="e">
        <f t="shared" si="3"/>
        <v>#DIV/0!</v>
      </c>
      <c r="J15" s="26" t="e">
        <f t="shared" si="4"/>
        <v>#DIV/0!</v>
      </c>
      <c r="K15" s="27" t="e">
        <f t="shared" si="5"/>
        <v>#DIV/0!</v>
      </c>
      <c r="L15" s="28" t="e">
        <f t="shared" si="6"/>
        <v>#DIV/0!</v>
      </c>
    </row>
    <row r="16" spans="1:12" ht="24.95" customHeight="1">
      <c r="A16" s="12">
        <v>42339</v>
      </c>
      <c r="B16" s="32"/>
      <c r="C16" s="33"/>
      <c r="D16" s="41">
        <f t="shared" si="0"/>
        <v>0</v>
      </c>
      <c r="E16" s="34"/>
      <c r="F16" s="34"/>
      <c r="G16" s="35">
        <f t="shared" si="1"/>
        <v>0</v>
      </c>
      <c r="H16" s="36" t="e">
        <f t="shared" si="2"/>
        <v>#DIV/0!</v>
      </c>
      <c r="I16" s="37" t="e">
        <f t="shared" si="3"/>
        <v>#DIV/0!</v>
      </c>
      <c r="J16" s="37" t="e">
        <f t="shared" si="4"/>
        <v>#DIV/0!</v>
      </c>
      <c r="K16" s="38" t="e">
        <f t="shared" si="5"/>
        <v>#DIV/0!</v>
      </c>
      <c r="L16" s="39" t="e">
        <f t="shared" si="6"/>
        <v>#DIV/0!</v>
      </c>
    </row>
    <row r="17" spans="1:12" ht="24.95" customHeight="1">
      <c r="A17" s="42" t="s">
        <v>19</v>
      </c>
      <c r="B17" s="43">
        <f t="shared" ref="B17:G17" si="7">SUM(B8:B16)</f>
        <v>20000</v>
      </c>
      <c r="C17" s="44">
        <f t="shared" si="7"/>
        <v>0</v>
      </c>
      <c r="D17" s="45">
        <f t="shared" si="7"/>
        <v>20000</v>
      </c>
      <c r="E17" s="46">
        <f t="shared" si="7"/>
        <v>0</v>
      </c>
      <c r="F17" s="47">
        <f t="shared" si="7"/>
        <v>0</v>
      </c>
      <c r="G17" s="46">
        <f t="shared" si="7"/>
        <v>0</v>
      </c>
      <c r="H17" s="48" t="e">
        <f>AVERAGE(H8:H16)</f>
        <v>#DIV/0!</v>
      </c>
      <c r="I17" s="44" t="e">
        <f>AVERAGE(I8:I16)</f>
        <v>#DIV/0!</v>
      </c>
      <c r="J17" s="44" t="e">
        <f>AVERAGE(J8:J16)</f>
        <v>#DIV/0!</v>
      </c>
      <c r="K17" s="49" t="e">
        <f>AVERAGE(K8:K16)</f>
        <v>#DIV/0!</v>
      </c>
      <c r="L17" s="50" t="e">
        <f>AVERAGE(L8:L16)</f>
        <v>#DIV/0!</v>
      </c>
    </row>
    <row r="18" spans="1:12">
      <c r="A18" s="9"/>
      <c r="J18" s="51"/>
      <c r="K18" s="52" t="s">
        <v>20</v>
      </c>
      <c r="L18" s="52" t="s">
        <v>21</v>
      </c>
    </row>
    <row r="19" spans="1:12">
      <c r="A19" s="9"/>
    </row>
  </sheetData>
  <mergeCells count="5">
    <mergeCell ref="B1:D1"/>
    <mergeCell ref="F1:G1"/>
    <mergeCell ref="B2:D2"/>
    <mergeCell ref="F2:G2"/>
    <mergeCell ref="B3:D3"/>
  </mergeCells>
  <phoneticPr fontId="9"/>
  <pageMargins left="0.69861111111111107" right="0.69861111111111107" top="0.75" bottom="0.75" header="0.3" footer="0.3"/>
  <pageSetup paperSize="9" firstPageNumber="4294963191"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4</vt:i4>
      </vt:variant>
    </vt:vector>
  </HeadingPairs>
  <TitlesOfParts>
    <vt:vector size="4" baseType="lpstr">
      <vt:lpstr>1609</vt:lpstr>
      <vt:lpstr>画像</vt:lpstr>
      <vt:lpstr>気づき</vt:lpstr>
      <vt:lpstr>ルール＆合計</vt:lpstr>
    </vt:vector>
  </TitlesOfParts>
  <Manager/>
  <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Abish ..</dc:creator>
  <cp:keywords/>
  <dc:description/>
  <cp:lastModifiedBy>Yoshiko Bai</cp:lastModifiedBy>
  <cp:revision/>
  <cp:lastPrinted>2016-09-21T21:40:56Z</cp:lastPrinted>
  <dcterms:created xsi:type="dcterms:W3CDTF">2013-10-09T23:04:08Z</dcterms:created>
  <dcterms:modified xsi:type="dcterms:W3CDTF">2016-09-27T22:50:28Z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