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<sst xmlns="http://schemas.openxmlformats.org/spreadsheetml/2006/main" uniqueCount="77">
  <si>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</si>
  <si>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</si>
  <si>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</si>
  <si>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</si>
  <si>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</si>
  <si>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</si>
  <si>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</si>
  <si>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</si>
  <si>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</si>
  <si>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</si>
  <si>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</si>
  <si>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</si>
  <si>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</si>
  <si>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</si>
  <si>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</si>
  <si>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</si>
  <si>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</si>
  <si>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</si>
  <si>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</si>
  <si>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</si>
  <si>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日足</t>
  </si>
  <si>
    <t>当初資金</t>
  </si>
  <si>
    <t>最終資金</t>
  </si>
  <si>
    <t>エントリー理由</t>
  </si>
  <si>
    <t>CMA標準ルールEB</t>
  </si>
  <si>
    <t>決済理由</t>
  </si>
  <si>
    <t>・フィボナッチターゲット1.27で決済</t>
  </si>
  <si>
    <t>損益金額</t>
  </si>
  <si>
    <t>損益pips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</si>
  <si>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</si>
  <si>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</si>
  <si>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</si>
  <si>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</si>
  <si>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</si>
  <si>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</si>
  <si>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</si>
  <si>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</si>
  <si>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</si>
  <si>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</si>
  <si>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</si>
  <si>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</si>
  <si>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</si>
  <si>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</si>
  <si>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</si>
  <si>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</si>
  <si>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</si>
  <si>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</si>
  <si>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</si>
  <si>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</si>
  <si>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</si>
  <si>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</si>
  <si>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</si>
  <si>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</si>
  <si>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</si>
  <si>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</si>
  <si>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10MA・20MAの両方の上側にキャンドルがあれば買い方向、下側なら売り方向。MAに触れてPB出現でエントリー待ち、PB高値or安値ブレイクでエントリー。</t>
  </si>
  <si>
    <t>・フィボナッチターゲット1.5で決済</t>
  </si>
  <si>
    <t>最大ドローアップ金額</t>
  </si>
  <si>
    <t>検証シート　FIB2.0</t>
  </si>
  <si>
    <t>・フィボナッチターゲット2.0で決済</t>
  </si>
  <si>
    <t>画像</t>
  </si>
  <si>
    <t>気づき</t>
  </si>
  <si>
    <t>気付き　質問</t>
  </si>
  <si>
    <t>感想</t>
  </si>
  <si>
    <t>今後</t>
  </si>
  <si>
    <t>検証終了通貨</t>
  </si>
  <si>
    <t>ルール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</si>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</sst>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蘋果儷中黑"/>
    </font>
    <font>
      <sz val="12"/>
      <color indexed="8"/>
      <name val="蘋果儷中黑"/>
    </font>
    <font>
      <sz val="14"/>
      <color indexed="8"/>
      <name val="蘋果儷中黑"/>
    </font>
    <font>
      <sz val="12"/>
      <color indexed="8"/>
      <name val="ヒラギノ角ゴ ProN W3"/>
    </font>
    <font>
      <u val="single"/>
      <sz val="12"/>
      <color indexed="11"/>
      <name val="蘋果儷中黑"/>
    </font>
    <font>
      <sz val="14"/>
      <color indexed="8"/>
      <name val="蘋果儷中黑"/>
    </font>
    <font>
      <sz val="11"/>
      <color indexed="17"/>
      <name val="蘋果儷中黑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9" borderId="8" applyNumberFormat="0" applyFont="1" applyFill="1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0" fontId="0" fillId="4" borderId="1" applyNumberFormat="0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2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10</xdr:col>
      <xdr:colOff>38100</xdr:colOff>
      <xdr:row>37</xdr:row>
      <xdr:rowOff>82856</xdr:rowOff>
    </xdr:to>
    <xdr:pic>
      <xdr:nvPicPr>
        <xdr:cNvPr id="2" name="スクリーンショット 2019-08-21 19.28.49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-277059" y="-278958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38</xdr:row>
      <xdr:rowOff>2426</xdr:rowOff>
    </xdr:from>
    <xdr:to>
      <xdr:col>10</xdr:col>
      <xdr:colOff>38100</xdr:colOff>
      <xdr:row>75</xdr:row>
      <xdr:rowOff>53532</xdr:rowOff>
    </xdr:to>
    <xdr:pic>
      <xdr:nvPicPr>
        <xdr:cNvPr id="3" name="スクリーンショット 2019-08-21 19.37.37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-277059" y="6847726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76</xdr:row>
      <xdr:rowOff>162019</xdr:rowOff>
    </xdr:from>
    <xdr:to>
      <xdr:col>10</xdr:col>
      <xdr:colOff>38100</xdr:colOff>
      <xdr:row>114</xdr:row>
      <xdr:rowOff>32150</xdr:rowOff>
    </xdr:to>
    <xdr:pic>
      <xdr:nvPicPr>
        <xdr:cNvPr id="4" name="スクリーンショット 2019-08-21 19.46.56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-277059" y="13884369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115</xdr:row>
      <xdr:rowOff>140637</xdr:rowOff>
    </xdr:from>
    <xdr:to>
      <xdr:col>10</xdr:col>
      <xdr:colOff>38100</xdr:colOff>
      <xdr:row>153</xdr:row>
      <xdr:rowOff>10769</xdr:rowOff>
    </xdr:to>
    <xdr:pic>
      <xdr:nvPicPr>
        <xdr:cNvPr id="5" name="スクリーンショット 2019-08-21 19.50.06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-277059" y="20921012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155</xdr:row>
      <xdr:rowOff>28323</xdr:rowOff>
    </xdr:from>
    <xdr:to>
      <xdr:col>10</xdr:col>
      <xdr:colOff>38100</xdr:colOff>
      <xdr:row>192</xdr:row>
      <xdr:rowOff>79430</xdr:rowOff>
    </xdr:to>
    <xdr:pic>
      <xdr:nvPicPr>
        <xdr:cNvPr id="6" name="スクリーンショット 2019-08-21 19.56.10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-277059" y="28047698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194</xdr:row>
      <xdr:rowOff>96983</xdr:rowOff>
    </xdr:from>
    <xdr:to>
      <xdr:col>10</xdr:col>
      <xdr:colOff>38100</xdr:colOff>
      <xdr:row>231</xdr:row>
      <xdr:rowOff>148089</xdr:rowOff>
    </xdr:to>
    <xdr:pic>
      <xdr:nvPicPr>
        <xdr:cNvPr id="7" name="スクリーンショット 2019-08-21 20.01.39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-277059" y="35174383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233</xdr:row>
      <xdr:rowOff>165642</xdr:rowOff>
    </xdr:from>
    <xdr:to>
      <xdr:col>10</xdr:col>
      <xdr:colOff>38100</xdr:colOff>
      <xdr:row>271</xdr:row>
      <xdr:rowOff>35773</xdr:rowOff>
    </xdr:to>
    <xdr:pic>
      <xdr:nvPicPr>
        <xdr:cNvPr id="8" name="スクリーンショット 2019-08-21 20.03.55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-277059" y="42301067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273</xdr:row>
      <xdr:rowOff>53326</xdr:rowOff>
    </xdr:from>
    <xdr:to>
      <xdr:col>10</xdr:col>
      <xdr:colOff>38100</xdr:colOff>
      <xdr:row>310</xdr:row>
      <xdr:rowOff>104433</xdr:rowOff>
    </xdr:to>
    <xdr:pic>
      <xdr:nvPicPr>
        <xdr:cNvPr id="9" name="スクリーンショット 2019-08-21 20.12.26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-277059" y="49427751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312</xdr:row>
      <xdr:rowOff>121983</xdr:rowOff>
    </xdr:from>
    <xdr:to>
      <xdr:col>10</xdr:col>
      <xdr:colOff>38100</xdr:colOff>
      <xdr:row>349</xdr:row>
      <xdr:rowOff>173089</xdr:rowOff>
    </xdr:to>
    <xdr:pic>
      <xdr:nvPicPr>
        <xdr:cNvPr id="10" name="スクリーンショット 2019-08-21 20.16.24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-277059" y="56554433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352</xdr:row>
      <xdr:rowOff>9667</xdr:rowOff>
    </xdr:from>
    <xdr:to>
      <xdr:col>10</xdr:col>
      <xdr:colOff>38100</xdr:colOff>
      <xdr:row>389</xdr:row>
      <xdr:rowOff>60773</xdr:rowOff>
    </xdr:to>
    <xdr:pic>
      <xdr:nvPicPr>
        <xdr:cNvPr id="11" name="スクリーンショット 2019-08-21 20.19.16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-277059" y="63681117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390</xdr:row>
      <xdr:rowOff>169260</xdr:rowOff>
    </xdr:from>
    <xdr:to>
      <xdr:col>10</xdr:col>
      <xdr:colOff>38100</xdr:colOff>
      <xdr:row>428</xdr:row>
      <xdr:rowOff>39392</xdr:rowOff>
    </xdr:to>
    <xdr:pic>
      <xdr:nvPicPr>
        <xdr:cNvPr id="12" name="スクリーンショット 2019-08-21 20.25.01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-277059" y="70717760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429</xdr:row>
      <xdr:rowOff>147879</xdr:rowOff>
    </xdr:from>
    <xdr:to>
      <xdr:col>10</xdr:col>
      <xdr:colOff>38100</xdr:colOff>
      <xdr:row>467</xdr:row>
      <xdr:rowOff>18010</xdr:rowOff>
    </xdr:to>
    <xdr:pic>
      <xdr:nvPicPr>
        <xdr:cNvPr id="13" name="スクリーンショット 2019-08-21 20.27.04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-277059" y="77754404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468</xdr:row>
      <xdr:rowOff>126497</xdr:rowOff>
    </xdr:from>
    <xdr:to>
      <xdr:col>10</xdr:col>
      <xdr:colOff>38100</xdr:colOff>
      <xdr:row>505</xdr:row>
      <xdr:rowOff>177603</xdr:rowOff>
    </xdr:to>
    <xdr:pic>
      <xdr:nvPicPr>
        <xdr:cNvPr id="14" name="スクリーンショット 2019-08-21 20.30.01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-277059" y="84791047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508</xdr:row>
      <xdr:rowOff>104223</xdr:rowOff>
    </xdr:from>
    <xdr:to>
      <xdr:col>10</xdr:col>
      <xdr:colOff>38100</xdr:colOff>
      <xdr:row>545</xdr:row>
      <xdr:rowOff>155329</xdr:rowOff>
    </xdr:to>
    <xdr:pic>
      <xdr:nvPicPr>
        <xdr:cNvPr id="15" name="スクリーンショット 2019-08-21 20.31.37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-277059" y="92007773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547</xdr:row>
      <xdr:rowOff>172882</xdr:rowOff>
    </xdr:from>
    <xdr:to>
      <xdr:col>10</xdr:col>
      <xdr:colOff>38100</xdr:colOff>
      <xdr:row>585</xdr:row>
      <xdr:rowOff>43013</xdr:rowOff>
    </xdr:to>
    <xdr:pic>
      <xdr:nvPicPr>
        <xdr:cNvPr id="16" name="スクリーンショット 2019-08-21 20.34.24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-277059" y="99134457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9</xdr:col>
      <xdr:colOff>688141</xdr:colOff>
      <xdr:row>547</xdr:row>
      <xdr:rowOff>172882</xdr:rowOff>
    </xdr:from>
    <xdr:to>
      <xdr:col>19</xdr:col>
      <xdr:colOff>561141</xdr:colOff>
      <xdr:row>585</xdr:row>
      <xdr:rowOff>43013</xdr:rowOff>
    </xdr:to>
    <xdr:pic>
      <xdr:nvPicPr>
        <xdr:cNvPr id="17" name="スクリーンショット 2019-08-21 20.35.41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7495341" y="99134457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587</xdr:row>
      <xdr:rowOff>60573</xdr:rowOff>
    </xdr:from>
    <xdr:to>
      <xdr:col>10</xdr:col>
      <xdr:colOff>38100</xdr:colOff>
      <xdr:row>624</xdr:row>
      <xdr:rowOff>111679</xdr:rowOff>
    </xdr:to>
    <xdr:pic>
      <xdr:nvPicPr>
        <xdr:cNvPr id="18" name="スクリーンショット 2019-08-21 20.47.47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-277059" y="106261148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626</xdr:row>
      <xdr:rowOff>39191</xdr:rowOff>
    </xdr:from>
    <xdr:to>
      <xdr:col>10</xdr:col>
      <xdr:colOff>38100</xdr:colOff>
      <xdr:row>663</xdr:row>
      <xdr:rowOff>90297</xdr:rowOff>
    </xdr:to>
    <xdr:pic>
      <xdr:nvPicPr>
        <xdr:cNvPr id="19" name="スクリーンショット 2019-08-21 20.57.11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-277059" y="113297791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665</xdr:row>
      <xdr:rowOff>17809</xdr:rowOff>
    </xdr:from>
    <xdr:to>
      <xdr:col>10</xdr:col>
      <xdr:colOff>38100</xdr:colOff>
      <xdr:row>702</xdr:row>
      <xdr:rowOff>68915</xdr:rowOff>
    </xdr:to>
    <xdr:pic>
      <xdr:nvPicPr>
        <xdr:cNvPr id="20" name="スクリーンショット 2019-08-21 21.00.35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-277059" y="120334434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703</xdr:row>
      <xdr:rowOff>177403</xdr:rowOff>
    </xdr:from>
    <xdr:to>
      <xdr:col>10</xdr:col>
      <xdr:colOff>38100</xdr:colOff>
      <xdr:row>741</xdr:row>
      <xdr:rowOff>47534</xdr:rowOff>
    </xdr:to>
    <xdr:pic>
      <xdr:nvPicPr>
        <xdr:cNvPr id="21" name="スクリーンショット 2019-08-21 21.01.53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-277059" y="127371078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743</xdr:row>
      <xdr:rowOff>155128</xdr:rowOff>
    </xdr:from>
    <xdr:to>
      <xdr:col>10</xdr:col>
      <xdr:colOff>38100</xdr:colOff>
      <xdr:row>781</xdr:row>
      <xdr:rowOff>25259</xdr:rowOff>
    </xdr:to>
    <xdr:pic>
      <xdr:nvPicPr>
        <xdr:cNvPr id="22" name="スクリーンショット 2019-08-21 21.09.45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-431701" y="134587803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782</xdr:row>
      <xdr:rowOff>133746</xdr:rowOff>
    </xdr:from>
    <xdr:to>
      <xdr:col>10</xdr:col>
      <xdr:colOff>38100</xdr:colOff>
      <xdr:row>820</xdr:row>
      <xdr:rowOff>3878</xdr:rowOff>
    </xdr:to>
    <xdr:pic>
      <xdr:nvPicPr>
        <xdr:cNvPr id="23" name="スクリーンショット 2019-08-21 21.15.17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-431701" y="141624446"/>
          <a:ext cx="7620001" cy="67471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821</xdr:row>
      <xdr:rowOff>112365</xdr:rowOff>
    </xdr:from>
    <xdr:to>
      <xdr:col>10</xdr:col>
      <xdr:colOff>38100</xdr:colOff>
      <xdr:row>858</xdr:row>
      <xdr:rowOff>163471</xdr:rowOff>
    </xdr:to>
    <xdr:pic>
      <xdr:nvPicPr>
        <xdr:cNvPr id="24" name="スクリーンショット 2019-08-21 21.19.53.pn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-431701" y="148661090"/>
          <a:ext cx="7620001" cy="67471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 Light"/>
            <a:ea typeface="Helvetica Light"/>
            <a:cs typeface="Helvetica Light"/>
            <a:sym typeface="Helvetica Light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 Light"/>
            <a:ea typeface="Helvetica Light"/>
            <a:cs typeface="Helvetica Light"/>
            <a:sym typeface="Helvetica Light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54</v>
      </c>
      <c r="C13" s="3"/>
      <c r="D13" s="3"/>
    </row>
    <row r="14">
      <c r="B14" s="4"/>
      <c r="C14" t="s" s="4">
        <v>5</v>
      </c>
      <c r="D14" t="s" s="5">
        <v>54</v>
      </c>
    </row>
    <row r="15">
      <c r="B15" t="s" s="3">
        <v>58</v>
      </c>
      <c r="C15" s="3"/>
      <c r="D15" s="3"/>
    </row>
    <row r="16">
      <c r="B16" s="4"/>
      <c r="C16" t="s" s="4">
        <v>5</v>
      </c>
      <c r="D16" t="s" s="5">
        <v>58</v>
      </c>
    </row>
    <row r="17">
      <c r="B17" t="s" s="3">
        <v>60</v>
      </c>
      <c r="C17" s="3"/>
      <c r="D17" s="3"/>
    </row>
    <row r="18">
      <c r="B18" s="4"/>
      <c r="C18" t="s" s="4">
        <v>5</v>
      </c>
      <c r="D18" t="s" s="5">
        <v>60</v>
      </c>
    </row>
    <row r="19">
      <c r="B19" t="s" s="3">
        <v>61</v>
      </c>
      <c r="C19" s="3"/>
      <c r="D19" s="3"/>
    </row>
    <row r="20">
      <c r="B20" s="4"/>
      <c r="C20" t="s" s="4">
        <v>5</v>
      </c>
      <c r="D20" t="s" s="5">
        <v>61</v>
      </c>
    </row>
    <row r="21">
      <c r="B21" t="s" s="3">
        <v>65</v>
      </c>
      <c r="C21" s="3"/>
      <c r="D21" s="3"/>
    </row>
    <row r="22">
      <c r="B22" s="4"/>
      <c r="C22" t="s" s="4">
        <v>5</v>
      </c>
      <c r="D22" t="s" s="5">
        <v>65</v>
      </c>
    </row>
    <row r="23">
      <c r="B23" t="s" s="3">
        <v>73</v>
      </c>
      <c r="C23" s="3"/>
      <c r="D23" s="3"/>
    </row>
    <row r="24">
      <c r="B24" s="4"/>
      <c r="C24" t="s" s="4">
        <v>5</v>
      </c>
      <c r="D24" t="s" s="5">
        <v>73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12.2" defaultRowHeight="13.5" customHeight="1" outlineLevelRow="0" outlineLevelCol="0"/>
  <cols>
    <col min="1" max="5" width="12.2109" style="6" customWidth="1"/>
    <col min="6" max="256" width="12.2109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2.2" defaultRowHeight="13.5" customHeight="1" outlineLevelRow="0" outlineLevelCol="0"/>
  <cols>
    <col min="1" max="1" width="4" style="10" customWidth="1"/>
    <col min="2" max="18" width="9.21094" style="10" customWidth="1"/>
    <col min="19" max="21" width="12.2109" style="10" customWidth="1"/>
    <col min="22" max="23" hidden="1" width="12.2" style="10" customWidth="1"/>
    <col min="24" max="25" width="12.2109" style="10" customWidth="1"/>
    <col min="26" max="256" width="12.2109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120453.849666366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20453.8496663659</v>
      </c>
      <c r="E4" s="27"/>
      <c r="F4" t="s" s="14">
        <v>28</v>
      </c>
      <c r="G4" s="15"/>
      <c r="H4" s="28">
        <f>SUM($T$9:$U$108)</f>
        <v>634</v>
      </c>
      <c r="I4" s="19"/>
      <c r="J4" s="15"/>
      <c r="K4" s="15"/>
      <c r="L4" s="21"/>
      <c r="M4" s="21"/>
      <c r="N4" t="s" s="14">
        <v>29</v>
      </c>
      <c r="O4" s="15"/>
      <c r="P4" s="29">
        <f>MAX(Y1:Y993)</f>
        <v>0.0873270000000043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30</v>
      </c>
      <c r="C5" s="30">
        <f>COUNTIF($R$9:$R$990,"&gt;0")</f>
        <v>10</v>
      </c>
      <c r="D5" t="s" s="14">
        <v>31</v>
      </c>
      <c r="E5" s="30">
        <f>COUNTIF($R$9:$R$990,"&lt;0")</f>
        <v>6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0.625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3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43602</v>
      </c>
      <c r="G9" t="s" s="18">
        <v>52</v>
      </c>
      <c r="H9" s="30">
        <v>1.2703</v>
      </c>
      <c r="I9" s="19"/>
      <c r="J9" s="30">
        <v>45</v>
      </c>
      <c r="K9" s="21">
        <f>IF(J9="","",C9*0.03)</f>
        <v>3000</v>
      </c>
      <c r="L9" s="21"/>
      <c r="M9" s="64">
        <f>IF(J9="","",(K9/J9)/LOOKUP(RIGHT($D$2,3),'定数'!$A$6:$A$13,'定数'!$B$6:$B$13))</f>
        <v>0.555555555555556</v>
      </c>
      <c r="N9" s="30">
        <v>2012</v>
      </c>
      <c r="O9" s="63">
        <v>43603</v>
      </c>
      <c r="P9" s="30">
        <v>1.2645</v>
      </c>
      <c r="Q9" s="19"/>
      <c r="R9" s="27">
        <f>IF(P9="","",T9*M9*LOOKUP(RIGHT($D$2,3),'定数'!$A$6:$A$13,'定数'!$B$6:$B$13))</f>
        <v>3866.666666666670</v>
      </c>
      <c r="S9" s="65"/>
      <c r="T9" s="66">
        <f>IF(P9="","",IF(G9="買",(P9-H9),(H9-P9))*IF(RIGHT($D$2,3)="JPY",100,10000))</f>
        <v>58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103866.666666667</v>
      </c>
      <c r="D10" s="21"/>
      <c r="E10" s="30">
        <v>2012</v>
      </c>
      <c r="F10" s="63">
        <v>43606</v>
      </c>
      <c r="G10" t="s" s="18">
        <v>53</v>
      </c>
      <c r="H10" s="30">
        <v>1.2793</v>
      </c>
      <c r="I10" s="19"/>
      <c r="J10" s="30">
        <v>69</v>
      </c>
      <c r="K10" s="69">
        <f>IF(J10="","",C10*0.03)</f>
        <v>3116.000000000010</v>
      </c>
      <c r="L10" s="70"/>
      <c r="M10" s="64">
        <f>IF(J10="","",(K10/J10)/LOOKUP(RIGHT($D$2,3),'定数'!$A$6:$A$13,'定数'!$B$6:$B$13))</f>
        <v>0.37632850241546</v>
      </c>
      <c r="N10" s="30">
        <v>2012</v>
      </c>
      <c r="O10" s="63">
        <v>43607</v>
      </c>
      <c r="P10" s="30">
        <v>1.2724</v>
      </c>
      <c r="Q10" s="19"/>
      <c r="R10" s="27">
        <f>IF(P10="","",T10*M10*LOOKUP(RIGHT($D$2,3),'定数'!$A$6:$A$13,'定数'!$B$6:$B$13))</f>
        <v>-3116.000000000010</v>
      </c>
      <c r="S10" s="65"/>
      <c r="T10" s="66">
        <f>IF(P10="","",IF(G10="買",(P10-H10),(H10-P10))*IF(RIGHT($D$2,3)="JPY",100,10000))</f>
        <v>-69</v>
      </c>
      <c r="U10" s="66"/>
      <c r="V10" s="67">
        <f>IF(T10&lt;&gt;"",IF(T10&gt;0,1+V9,0),"")</f>
        <v>0</v>
      </c>
      <c r="W10" s="68">
        <f>IF(T10&lt;&gt;"",IF(T10&lt;0,1+W9,0),"")</f>
        <v>1</v>
      </c>
      <c r="X10" s="71">
        <f>IF(C10&lt;&gt;"",MAX(C10,C9),"")</f>
        <v>103866.666666667</v>
      </c>
      <c r="Y10" s="7"/>
    </row>
    <row r="11" ht="14" customHeight="1">
      <c r="A11" s="13"/>
      <c r="B11" s="30">
        <v>3</v>
      </c>
      <c r="C11" s="21">
        <f>IF(R10="","",C10+R10)</f>
        <v>100750.666666667</v>
      </c>
      <c r="D11" s="21"/>
      <c r="E11" s="30">
        <v>2012</v>
      </c>
      <c r="F11" s="63">
        <v>43609</v>
      </c>
      <c r="G11" t="s" s="18">
        <v>52</v>
      </c>
      <c r="H11" s="30">
        <v>1.2523</v>
      </c>
      <c r="I11" s="19"/>
      <c r="J11" s="30">
        <v>95</v>
      </c>
      <c r="K11" s="69">
        <f>IF(J11="","",C11*0.03)</f>
        <v>3022.520000000010</v>
      </c>
      <c r="L11" s="70"/>
      <c r="M11" s="64">
        <f>IF(J11="","",(K11/J11)/LOOKUP(RIGHT($D$2,3),'定数'!$A$6:$A$13,'定数'!$B$6:$B$13))</f>
        <v>0.265133333333334</v>
      </c>
      <c r="N11" s="30">
        <v>2012</v>
      </c>
      <c r="O11" s="63">
        <v>43613</v>
      </c>
      <c r="P11" s="30">
        <v>1.2618</v>
      </c>
      <c r="Q11" s="19"/>
      <c r="R11" s="27">
        <f>IF(P11="","",T11*M11*LOOKUP(RIGHT($D$2,3),'定数'!$A$6:$A$13,'定数'!$B$6:$B$13))</f>
        <v>-3022.520000000010</v>
      </c>
      <c r="S11" s="65"/>
      <c r="T11" s="66">
        <f>IF(P11="","",IF(G11="買",(P11-H11),(H11-P11))*IF(RIGHT($D$2,3)="JPY",100,10000))</f>
        <v>-95</v>
      </c>
      <c r="U11" s="66"/>
      <c r="V11" s="67">
        <f>IF(T11&lt;&gt;"",IF(T11&gt;0,1+V10,0),"")</f>
        <v>0</v>
      </c>
      <c r="W11" s="68">
        <f>IF(T11&lt;&gt;"",IF(T11&lt;0,1+W10,0),"")</f>
        <v>2</v>
      </c>
      <c r="X11" s="71">
        <f>IF(C11&lt;&gt;"",MAX(X10,C11),"")</f>
        <v>103866.666666667</v>
      </c>
      <c r="Y11" s="72">
        <f>IF(X11&lt;&gt;"",1-(C11/X11),"")</f>
        <v>0.0299999999999999</v>
      </c>
    </row>
    <row r="12" ht="14" customHeight="1">
      <c r="A12" s="13"/>
      <c r="B12" s="30">
        <v>4</v>
      </c>
      <c r="C12" s="21">
        <f>IF(R11="","",C11+R11)</f>
        <v>97728.146666667</v>
      </c>
      <c r="D12" s="21"/>
      <c r="E12" s="30">
        <v>2012</v>
      </c>
      <c r="F12" s="63">
        <v>43616</v>
      </c>
      <c r="G12" t="s" s="18">
        <v>52</v>
      </c>
      <c r="H12" s="30">
        <v>1.237</v>
      </c>
      <c r="I12" s="19"/>
      <c r="J12" s="30">
        <v>59</v>
      </c>
      <c r="K12" s="69">
        <f>IF(J12="","",C12*0.03)</f>
        <v>2931.844400000010</v>
      </c>
      <c r="L12" s="70"/>
      <c r="M12" s="64">
        <f>IF(J12="","",(K12/J12)/LOOKUP(RIGHT($D$2,3),'定数'!$A$6:$A$13,'定数'!$B$6:$B$13))</f>
        <v>0.414102316384182</v>
      </c>
      <c r="N12" s="30">
        <v>2012</v>
      </c>
      <c r="O12" s="63">
        <v>43617</v>
      </c>
      <c r="P12" s="30">
        <v>1.2298</v>
      </c>
      <c r="Q12" s="19"/>
      <c r="R12" s="27">
        <f>IF(P12="","",T12*M12*LOOKUP(RIGHT($D$2,3),'定数'!$A$6:$A$13,'定数'!$B$6:$B$13))</f>
        <v>3577.844013559330</v>
      </c>
      <c r="S12" s="65"/>
      <c r="T12" s="66">
        <f>IF(P12="","",IF(G12="買",(P12-H12),(H12-P12))*IF(RIGHT($D$2,3)="JPY",100,10000))</f>
        <v>72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103866.666666667</v>
      </c>
      <c r="Y12" s="72">
        <f>IF(X12&lt;&gt;"",1-(C12/X12),"")</f>
        <v>0.0590999999999998</v>
      </c>
    </row>
    <row r="13" ht="14" customHeight="1">
      <c r="A13" s="13"/>
      <c r="B13" s="30">
        <v>5</v>
      </c>
      <c r="C13" s="21">
        <f>IF(R12="","",C12+R12)</f>
        <v>101305.990680226</v>
      </c>
      <c r="D13" s="21"/>
      <c r="E13" s="30">
        <v>2012</v>
      </c>
      <c r="F13" s="63">
        <v>43630</v>
      </c>
      <c r="G13" t="s" s="18">
        <v>53</v>
      </c>
      <c r="H13" s="30">
        <v>1.26</v>
      </c>
      <c r="I13" s="19"/>
      <c r="J13" s="30">
        <v>59</v>
      </c>
      <c r="K13" s="69">
        <f>IF(J13="","",C13*0.03)</f>
        <v>3039.179720406780</v>
      </c>
      <c r="L13" s="70"/>
      <c r="M13" s="64">
        <f>IF(J13="","",(K13/J13)/LOOKUP(RIGHT($D$2,3),'定数'!$A$6:$A$13,'定数'!$B$6:$B$13))</f>
        <v>0.429262672373839</v>
      </c>
      <c r="N13" s="30">
        <v>2012</v>
      </c>
      <c r="O13" s="63">
        <v>43631</v>
      </c>
      <c r="P13" s="30">
        <v>1.2673</v>
      </c>
      <c r="Q13" s="19"/>
      <c r="R13" s="27">
        <f>IF(P13="","",T13*M13*LOOKUP(RIGHT($D$2,3),'定数'!$A$6:$A$13,'定数'!$B$6:$B$13))</f>
        <v>3760.341009994830</v>
      </c>
      <c r="S13" s="65"/>
      <c r="T13" s="66">
        <f>IF(P13="","",IF(G13="買",(P13-H13),(H13-P13))*IF(RIGHT($D$2,3)="JPY",100,10000))</f>
        <v>73</v>
      </c>
      <c r="U13" s="66"/>
      <c r="V13" s="67">
        <f>IF(T13&lt;&gt;"",IF(T13&gt;0,1+V12,0),"")</f>
        <v>2</v>
      </c>
      <c r="W13" s="68">
        <f>IF(T13&lt;&gt;"",IF(T13&lt;0,1+W12,0),"")</f>
        <v>0</v>
      </c>
      <c r="X13" s="71">
        <f>IF(C13&lt;&gt;"",MAX(X12,C13),"")</f>
        <v>103866.666666667</v>
      </c>
      <c r="Y13" s="72">
        <f>IF(X13&lt;&gt;"",1-(C13/X13),"")</f>
        <v>0.0246534915254268</v>
      </c>
    </row>
    <row r="14" ht="14" customHeight="1">
      <c r="A14" s="13"/>
      <c r="B14" s="30">
        <v>6</v>
      </c>
      <c r="C14" s="21">
        <f>IF(R13="","",C13+R13)</f>
        <v>105066.331690221</v>
      </c>
      <c r="D14" s="21"/>
      <c r="E14" s="30">
        <v>2012</v>
      </c>
      <c r="F14" s="63">
        <v>43631</v>
      </c>
      <c r="G14" t="s" s="18">
        <v>53</v>
      </c>
      <c r="H14" s="30">
        <v>1.2652</v>
      </c>
      <c r="I14" s="19"/>
      <c r="J14" s="30">
        <v>61</v>
      </c>
      <c r="K14" s="69">
        <f>IF(J14="","",C14*0.03)</f>
        <v>3151.989950706630</v>
      </c>
      <c r="L14" s="70"/>
      <c r="M14" s="64">
        <f>IF(J14="","",(K14/J14)/LOOKUP(RIGHT($D$2,3),'定数'!$A$6:$A$13,'定数'!$B$6:$B$13))</f>
        <v>0.430599720041889</v>
      </c>
      <c r="N14" s="30">
        <v>2012</v>
      </c>
      <c r="O14" s="63">
        <v>43631</v>
      </c>
      <c r="P14" s="30">
        <v>1.2728</v>
      </c>
      <c r="Q14" s="19"/>
      <c r="R14" s="27">
        <f>IF(P14="","",T14*M14*LOOKUP(RIGHT($D$2,3),'定数'!$A$6:$A$13,'定数'!$B$6:$B$13))</f>
        <v>3927.069446782030</v>
      </c>
      <c r="S14" s="65"/>
      <c r="T14" s="66">
        <f>IF(P14="","",IF(G14="買",(P14-H14),(H14-P14))*IF(RIGHT($D$2,3)="JPY",100,10000))</f>
        <v>76</v>
      </c>
      <c r="U14" s="66"/>
      <c r="V14" s="67">
        <f>IF(T14&lt;&gt;"",IF(T14&gt;0,1+V13,0),"")</f>
        <v>3</v>
      </c>
      <c r="W14" s="68">
        <f>IF(T14&lt;&gt;"",IF(T14&lt;0,1+W13,0),"")</f>
        <v>0</v>
      </c>
      <c r="X14" s="71">
        <f>IF(C14&lt;&gt;"",MAX(X13,C14),"")</f>
        <v>105066.331690221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108993.401137003</v>
      </c>
      <c r="D15" s="21"/>
      <c r="E15" s="30">
        <v>2012</v>
      </c>
      <c r="F15" s="63">
        <v>43648</v>
      </c>
      <c r="G15" t="s" s="18">
        <v>52</v>
      </c>
      <c r="H15" s="30">
        <v>1.2584</v>
      </c>
      <c r="I15" s="19"/>
      <c r="J15" s="30">
        <v>82</v>
      </c>
      <c r="K15" s="69">
        <f>IF(J15="","",C15*0.03)</f>
        <v>3269.802034110090</v>
      </c>
      <c r="L15" s="70"/>
      <c r="M15" s="64">
        <f>IF(J15="","",(K15/J15)/LOOKUP(RIGHT($D$2,3),'定数'!$A$6:$A$13,'定数'!$B$6:$B$13))</f>
        <v>0.332296954685985</v>
      </c>
      <c r="N15" s="30">
        <v>2012</v>
      </c>
      <c r="O15" s="63">
        <v>43651</v>
      </c>
      <c r="P15" s="30">
        <v>1.2482</v>
      </c>
      <c r="Q15" s="19"/>
      <c r="R15" s="27">
        <f>IF(P15="","",T15*M15*LOOKUP(RIGHT($D$2,3),'定数'!$A$6:$A$13,'定数'!$B$6:$B$13))</f>
        <v>4067.314725356460</v>
      </c>
      <c r="S15" s="65"/>
      <c r="T15" s="66">
        <f>IF(P15="","",IF(G15="買",(P15-H15),(H15-P15))*IF(RIGHT($D$2,3)="JPY",100,10000))</f>
        <v>102</v>
      </c>
      <c r="U15" s="66"/>
      <c r="V15" s="67">
        <f>IF(T15&lt;&gt;"",IF(T15&gt;0,1+V14,0),"")</f>
        <v>4</v>
      </c>
      <c r="W15" s="68">
        <f>IF(T15&lt;&gt;"",IF(T15&lt;0,1+W14,0),"")</f>
        <v>0</v>
      </c>
      <c r="X15" s="71">
        <f>IF(C15&lt;&gt;"",MAX(X14,C15),"")</f>
        <v>108993.401137003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113060.715862359</v>
      </c>
      <c r="D16" s="21"/>
      <c r="E16" s="30">
        <v>2012</v>
      </c>
      <c r="F16" s="63">
        <v>43656</v>
      </c>
      <c r="G16" t="s" s="18">
        <v>52</v>
      </c>
      <c r="H16" s="30">
        <v>1.2262</v>
      </c>
      <c r="I16" s="19"/>
      <c r="J16" s="30">
        <v>71</v>
      </c>
      <c r="K16" s="69">
        <f>IF(J16="","",C16*0.03)</f>
        <v>3391.821475870770</v>
      </c>
      <c r="L16" s="70"/>
      <c r="M16" s="64">
        <f>IF(J16="","",(K16/J16)/LOOKUP(RIGHT($D$2,3),'定数'!$A$6:$A$13,'定数'!$B$6:$B$13))</f>
        <v>0.398101112191405</v>
      </c>
      <c r="N16" s="30">
        <v>2012</v>
      </c>
      <c r="O16" s="63">
        <v>43658</v>
      </c>
      <c r="P16" s="30">
        <v>1.2169</v>
      </c>
      <c r="Q16" s="19"/>
      <c r="R16" s="27">
        <f>IF(P16="","",T16*M16*LOOKUP(RIGHT($D$2,3),'定数'!$A$6:$A$13,'定数'!$B$6:$B$13))</f>
        <v>4442.808412056080</v>
      </c>
      <c r="S16" s="65"/>
      <c r="T16" s="66">
        <f>IF(P16="","",IF(G16="買",(P16-H16),(H16-P16))*IF(RIGHT($D$2,3)="JPY",100,10000))</f>
        <v>93</v>
      </c>
      <c r="U16" s="66"/>
      <c r="V16" s="67">
        <f>IF(T16&lt;&gt;"",IF(T16&gt;0,1+V15,0),"")</f>
        <v>5</v>
      </c>
      <c r="W16" s="68">
        <f>IF(T16&lt;&gt;"",IF(T16&lt;0,1+W15,0),"")</f>
        <v>0</v>
      </c>
      <c r="X16" s="71">
        <f>IF(C16&lt;&gt;"",MAX(X15,C16),"")</f>
        <v>113060.715862359</v>
      </c>
      <c r="Y16" s="72">
        <f>IF(X16&lt;&gt;"",1-(C16/X16),"")</f>
        <v>0</v>
      </c>
    </row>
    <row r="17" ht="14" customHeight="1">
      <c r="A17" s="13"/>
      <c r="B17" s="30">
        <v>9</v>
      </c>
      <c r="C17" s="21">
        <f>IF(R16="","",C16+R16)</f>
        <v>117503.524274415</v>
      </c>
      <c r="D17" s="21"/>
      <c r="E17" s="30">
        <v>2012</v>
      </c>
      <c r="F17" s="63">
        <v>43666</v>
      </c>
      <c r="G17" t="s" s="18">
        <v>52</v>
      </c>
      <c r="H17" s="30">
        <v>1.2228</v>
      </c>
      <c r="I17" s="19"/>
      <c r="J17" s="30">
        <v>49</v>
      </c>
      <c r="K17" s="69">
        <f>IF(J17="","",C17*0.03)</f>
        <v>3525.105728232450</v>
      </c>
      <c r="L17" s="70"/>
      <c r="M17" s="64">
        <f>IF(J17="","",(K17/J17)/LOOKUP(RIGHT($D$2,3),'定数'!$A$6:$A$13,'定数'!$B$6:$B$13))</f>
        <v>0.599507776910281</v>
      </c>
      <c r="N17" s="30">
        <v>2012</v>
      </c>
      <c r="O17" s="63">
        <v>43666</v>
      </c>
      <c r="P17" s="30">
        <v>1.2168</v>
      </c>
      <c r="Q17" s="19"/>
      <c r="R17" s="27">
        <f>IF(P17="","",T17*M17*LOOKUP(RIGHT($D$2,3),'定数'!$A$6:$A$13,'定数'!$B$6:$B$13))</f>
        <v>4316.455993754020</v>
      </c>
      <c r="S17" s="65"/>
      <c r="T17" s="66">
        <f>IF(P17="","",IF(G17="買",(P17-H17),(H17-P17))*IF(RIGHT($D$2,3)="JPY",100,10000))</f>
        <v>60</v>
      </c>
      <c r="U17" s="66"/>
      <c r="V17" s="67">
        <f>IF(T17&lt;&gt;"",IF(T17&gt;0,1+V16,0),"")</f>
        <v>6</v>
      </c>
      <c r="W17" s="68">
        <f>IF(T17&lt;&gt;"",IF(T17&lt;0,1+W16,0),"")</f>
        <v>0</v>
      </c>
      <c r="X17" s="71">
        <f>IF(C17&lt;&gt;"",MAX(X16,C17),"")</f>
        <v>117503.524274415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121819.980268169</v>
      </c>
      <c r="D18" s="21"/>
      <c r="E18" s="30">
        <v>2012</v>
      </c>
      <c r="F18" s="63">
        <v>43672</v>
      </c>
      <c r="G18" t="s" s="18">
        <v>53</v>
      </c>
      <c r="H18" s="30">
        <v>1.2317</v>
      </c>
      <c r="I18" s="19"/>
      <c r="J18" s="30">
        <v>201</v>
      </c>
      <c r="K18" s="69">
        <f>IF(J18="","",C18*0.03)</f>
        <v>3654.599408045070</v>
      </c>
      <c r="L18" s="70"/>
      <c r="M18" s="64">
        <f>IF(J18="","",(K18/J18)/LOOKUP(RIGHT($D$2,3),'定数'!$A$6:$A$13,'定数'!$B$6:$B$13))</f>
        <v>0.151517388393245</v>
      </c>
      <c r="N18" s="30">
        <v>2012</v>
      </c>
      <c r="O18" s="63">
        <v>43700</v>
      </c>
      <c r="P18" s="30">
        <v>1.257</v>
      </c>
      <c r="Q18" s="19"/>
      <c r="R18" s="27">
        <f>IF(P18="","",T18*M18*LOOKUP(RIGHT($D$2,3),'定数'!$A$6:$A$13,'定数'!$B$6:$B$13))</f>
        <v>4600.067911618920</v>
      </c>
      <c r="S18" s="65"/>
      <c r="T18" s="66">
        <f>IF(P18="","",IF(G18="買",(P18-H18),(H18-P18))*IF(RIGHT($D$2,3)="JPY",100,10000))</f>
        <v>253</v>
      </c>
      <c r="U18" s="66"/>
      <c r="V18" s="67">
        <f>IF(T18&lt;&gt;"",IF(T18&gt;0,1+V17,0),"")</f>
        <v>7</v>
      </c>
      <c r="W18" s="68">
        <f>IF(T18&lt;&gt;"",IF(T18&lt;0,1+W17,0),"")</f>
        <v>0</v>
      </c>
      <c r="X18" s="71">
        <f>IF(C18&lt;&gt;"",MAX(X17,C18),"")</f>
        <v>121819.980268169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126420.048179788</v>
      </c>
      <c r="D19" s="21"/>
      <c r="E19" s="30">
        <v>2012</v>
      </c>
      <c r="F19" s="63">
        <v>43684</v>
      </c>
      <c r="G19" t="s" s="18">
        <v>53</v>
      </c>
      <c r="H19" s="30">
        <v>1.2434</v>
      </c>
      <c r="I19" s="19"/>
      <c r="J19" s="30">
        <v>59</v>
      </c>
      <c r="K19" s="69">
        <f>IF(J19="","",C19*0.03)</f>
        <v>3792.601445393640</v>
      </c>
      <c r="L19" s="70"/>
      <c r="M19" s="64">
        <f>IF(J19="","",(K19/J19)/LOOKUP(RIGHT($D$2,3),'定数'!$A$6:$A$13,'定数'!$B$6:$B$13))</f>
        <v>0.535678170253339</v>
      </c>
      <c r="N19" s="30">
        <v>2012</v>
      </c>
      <c r="O19" s="63">
        <v>43685</v>
      </c>
      <c r="P19" s="30">
        <v>1.2375</v>
      </c>
      <c r="Q19" s="19"/>
      <c r="R19" s="27">
        <f>IF(P19="","",T19*M19*LOOKUP(RIGHT($D$2,3),'定数'!$A$6:$A$13,'定数'!$B$6:$B$13))</f>
        <v>-3792.601445393640</v>
      </c>
      <c r="S19" s="65"/>
      <c r="T19" s="66">
        <f>IF(P19="","",IF(G19="買",(P19-H19),(H19-P19))*IF(RIGHT($D$2,3)="JPY",100,10000))</f>
        <v>-59</v>
      </c>
      <c r="U19" s="66"/>
      <c r="V19" s="67">
        <f>IF(T19&lt;&gt;"",IF(T19&gt;0,1+V18,0),"")</f>
        <v>0</v>
      </c>
      <c r="W19" s="68">
        <f>IF(T19&lt;&gt;"",IF(T19&lt;0,1+W18,0),"")</f>
        <v>1</v>
      </c>
      <c r="X19" s="71">
        <f>IF(C19&lt;&gt;"",MAX(X18,C19),"")</f>
        <v>126420.048179788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122627.446734394</v>
      </c>
      <c r="D20" s="21"/>
      <c r="E20" s="30">
        <v>2012</v>
      </c>
      <c r="F20" s="63">
        <v>43699</v>
      </c>
      <c r="G20" t="s" s="18">
        <v>53</v>
      </c>
      <c r="H20" s="30">
        <v>1.2538</v>
      </c>
      <c r="I20" s="19"/>
      <c r="J20" s="30">
        <v>83</v>
      </c>
      <c r="K20" s="69">
        <f>IF(J20="","",C20*0.03)</f>
        <v>3678.823402031820</v>
      </c>
      <c r="L20" s="70"/>
      <c r="M20" s="64">
        <f>IF(J20="","",(K20/J20)/LOOKUP(RIGHT($D$2,3),'定数'!$A$6:$A$13,'定数'!$B$6:$B$13))</f>
        <v>0.369359779320464</v>
      </c>
      <c r="N20" s="30">
        <v>2012</v>
      </c>
      <c r="O20" s="63">
        <v>43707</v>
      </c>
      <c r="P20" s="30">
        <v>1.2641</v>
      </c>
      <c r="Q20" s="19"/>
      <c r="R20" s="27">
        <f>IF(P20="","",T20*M20*LOOKUP(RIGHT($D$2,3),'定数'!$A$6:$A$13,'定数'!$B$6:$B$13))</f>
        <v>4565.286872400940</v>
      </c>
      <c r="S20" s="65"/>
      <c r="T20" s="66">
        <f>IF(P20="","",IF(G20="買",(P20-H20),(H20-P20))*IF(RIGHT($D$2,3)="JPY",100,10000))</f>
        <v>103</v>
      </c>
      <c r="U20" s="66"/>
      <c r="V20" s="67">
        <f>IF(T20&lt;&gt;"",IF(T20&gt;0,1+V19,0),"")</f>
        <v>1</v>
      </c>
      <c r="W20" s="68">
        <f>IF(T20&lt;&gt;"",IF(T20&lt;0,1+W19,0),"")</f>
        <v>0</v>
      </c>
      <c r="X20" s="71">
        <f>IF(C20&lt;&gt;"",MAX(X19,C20),"")</f>
        <v>126420.048179788</v>
      </c>
      <c r="Y20" s="72">
        <f>IF(X20&lt;&gt;"",1-(C20/X20),"")</f>
        <v>0.0300000000000028</v>
      </c>
    </row>
    <row r="21" ht="14" customHeight="1">
      <c r="A21" s="13"/>
      <c r="B21" s="30">
        <v>13</v>
      </c>
      <c r="C21" s="21">
        <f>IF(R20="","",C20+R20)</f>
        <v>127192.733606795</v>
      </c>
      <c r="D21" s="21"/>
      <c r="E21" s="30">
        <v>2012</v>
      </c>
      <c r="F21" s="63">
        <v>43721</v>
      </c>
      <c r="G21" t="s" s="18">
        <v>53</v>
      </c>
      <c r="H21" s="30">
        <v>1.297</v>
      </c>
      <c r="I21" s="19"/>
      <c r="J21" s="30">
        <v>114</v>
      </c>
      <c r="K21" s="69">
        <f>IF(J21="","",C21*0.03)</f>
        <v>3815.782008203850</v>
      </c>
      <c r="L21" s="70"/>
      <c r="M21" s="64">
        <f>IF(J21="","",(K21/J21)/LOOKUP(RIGHT($D$2,3),'定数'!$A$6:$A$13,'定数'!$B$6:$B$13))</f>
        <v>0.278931433348235</v>
      </c>
      <c r="N21" s="30">
        <v>2012</v>
      </c>
      <c r="O21" s="63">
        <v>43722</v>
      </c>
      <c r="P21" s="30">
        <v>1.3113</v>
      </c>
      <c r="Q21" s="19"/>
      <c r="R21" s="27">
        <f>IF(P21="","",T21*M21*LOOKUP(RIGHT($D$2,3),'定数'!$A$6:$A$13,'定数'!$B$6:$B$13))</f>
        <v>4786.463396255710</v>
      </c>
      <c r="S21" s="65"/>
      <c r="T21" s="66">
        <f>IF(P21="","",IF(G21="買",(P21-H21),(H21-P21))*IF(RIGHT($D$2,3)="JPY",100,10000))</f>
        <v>143</v>
      </c>
      <c r="U21" s="66"/>
      <c r="V21" s="67">
        <f>IF(T21&lt;&gt;"",IF(T21&gt;0,1+V20,0),"")</f>
        <v>2</v>
      </c>
      <c r="W21" s="68">
        <f>IF(T21&lt;&gt;"",IF(T21&lt;0,1+W20,0),"")</f>
        <v>0</v>
      </c>
      <c r="X21" s="71">
        <f>IF(C21&lt;&gt;"",MAX(X20,C21),"")</f>
        <v>127192.733606795</v>
      </c>
      <c r="Y21" s="72">
        <f>IF(X21&lt;&gt;"",1-(C21/X21),"")</f>
        <v>0</v>
      </c>
    </row>
    <row r="22" ht="14" customHeight="1">
      <c r="A22" s="13"/>
      <c r="B22" s="30">
        <v>14</v>
      </c>
      <c r="C22" s="21">
        <f>IF(R21="","",C21+R21)</f>
        <v>131979.197003051</v>
      </c>
      <c r="D22" s="21"/>
      <c r="E22" s="30">
        <v>2012</v>
      </c>
      <c r="F22" s="63">
        <v>43733</v>
      </c>
      <c r="G22" t="s" s="18">
        <v>52</v>
      </c>
      <c r="H22" s="30">
        <v>1.2895</v>
      </c>
      <c r="I22" s="19"/>
      <c r="J22" s="30">
        <v>76</v>
      </c>
      <c r="K22" s="69">
        <f>IF(J22="","",C22*0.03)</f>
        <v>3959.375910091530</v>
      </c>
      <c r="L22" s="70"/>
      <c r="M22" s="64">
        <f>IF(J22="","",(K22/J22)/LOOKUP(RIGHT($D$2,3),'定数'!$A$6:$A$13,'定数'!$B$6:$B$13))</f>
        <v>0.434142095404773</v>
      </c>
      <c r="N22" s="30">
        <v>2012</v>
      </c>
      <c r="O22" s="63">
        <v>43742</v>
      </c>
      <c r="P22" s="30">
        <v>1.2971</v>
      </c>
      <c r="Q22" s="19"/>
      <c r="R22" s="27">
        <f>IF(P22="","",T22*M22*LOOKUP(RIGHT($D$2,3),'定数'!$A$6:$A$13,'定数'!$B$6:$B$13))</f>
        <v>-3959.375910091530</v>
      </c>
      <c r="S22" s="65"/>
      <c r="T22" s="66">
        <f>IF(P22="","",IF(G22="買",(P22-H22),(H22-P22))*IF(RIGHT($D$2,3)="JPY",100,10000))</f>
        <v>-76</v>
      </c>
      <c r="U22" s="66"/>
      <c r="V22" s="67">
        <f>IF(T22&lt;&gt;"",IF(T22&gt;0,1+V21,0),"")</f>
        <v>0</v>
      </c>
      <c r="W22" s="68">
        <f>IF(T22&lt;&gt;"",IF(T22&lt;0,1+W21,0),"")</f>
        <v>1</v>
      </c>
      <c r="X22" s="71">
        <f>IF(C22&lt;&gt;"",MAX(X21,C22),"")</f>
        <v>131979.197003051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128019.821092959</v>
      </c>
      <c r="D23" s="21"/>
      <c r="E23" s="30">
        <v>2012</v>
      </c>
      <c r="F23" s="63">
        <v>43749</v>
      </c>
      <c r="G23" t="s" s="18">
        <v>52</v>
      </c>
      <c r="H23" s="30">
        <v>1.2844</v>
      </c>
      <c r="I23" s="19"/>
      <c r="J23" s="30">
        <v>69</v>
      </c>
      <c r="K23" s="69">
        <f>IF(J23="","",C23*0.03)</f>
        <v>3840.594632788770</v>
      </c>
      <c r="L23" s="70"/>
      <c r="M23" s="64">
        <f>IF(J23="","",(K23/J23)/LOOKUP(RIGHT($D$2,3),'定数'!$A$6:$A$13,'定数'!$B$6:$B$13))</f>
        <v>0.463839931496228</v>
      </c>
      <c r="N23" s="30">
        <v>2012</v>
      </c>
      <c r="O23" s="63">
        <v>43749</v>
      </c>
      <c r="P23" s="30">
        <v>1.2913</v>
      </c>
      <c r="Q23" s="19"/>
      <c r="R23" s="27">
        <f>IF(P23="","",T23*M23*LOOKUP(RIGHT($D$2,3),'定数'!$A$6:$A$13,'定数'!$B$6:$B$13))</f>
        <v>-3840.594632788770</v>
      </c>
      <c r="S23" s="65"/>
      <c r="T23" s="66">
        <f>IF(P23="","",IF(G23="買",(P23-H23),(H23-P23))*IF(RIGHT($D$2,3)="JPY",100,10000))</f>
        <v>-69</v>
      </c>
      <c r="U23" s="66"/>
      <c r="V23" s="56">
        <f>IF(S23&lt;&gt;"",IF(S23&lt;0,1+V22,0),"")</f>
      </c>
      <c r="W23" s="68">
        <f>IF(T23&lt;&gt;"",IF(T23&lt;0,1+W22,0),"")</f>
        <v>2</v>
      </c>
      <c r="X23" s="71">
        <f>IF(C23&lt;&gt;"",MAX(X22,C23),"")</f>
        <v>131979.197003051</v>
      </c>
      <c r="Y23" s="72">
        <f>IF(X23&lt;&gt;"",1-(C23/X23),"")</f>
        <v>0.0300000000000036</v>
      </c>
    </row>
    <row r="24" ht="14" customHeight="1">
      <c r="A24" s="13"/>
      <c r="B24" s="30">
        <v>16</v>
      </c>
      <c r="C24" s="21">
        <f>IF(R23="","",C23+R23)</f>
        <v>124179.22646017</v>
      </c>
      <c r="D24" s="21"/>
      <c r="E24" s="30">
        <v>2012</v>
      </c>
      <c r="F24" s="63">
        <v>43767</v>
      </c>
      <c r="G24" t="s" s="18">
        <v>52</v>
      </c>
      <c r="H24" s="30">
        <v>1.2913</v>
      </c>
      <c r="I24" s="19"/>
      <c r="J24" s="30">
        <v>31</v>
      </c>
      <c r="K24" s="69">
        <f>IF(J24="","",C24*0.03)</f>
        <v>3725.3767938051</v>
      </c>
      <c r="L24" s="70"/>
      <c r="M24" s="64">
        <f>IF(J24="","",(K24/J24)/LOOKUP(RIGHT($D$2,3),'定数'!$A$6:$A$13,'定数'!$B$6:$B$13))</f>
        <v>1.00144537467879</v>
      </c>
      <c r="N24" s="30">
        <v>2012</v>
      </c>
      <c r="O24" s="63">
        <v>43768</v>
      </c>
      <c r="P24" s="30">
        <v>1.2944</v>
      </c>
      <c r="Q24" s="19"/>
      <c r="R24" s="27">
        <f>IF(P24="","",T24*M24*LOOKUP(RIGHT($D$2,3),'定数'!$A$6:$A$13,'定数'!$B$6:$B$13))</f>
        <v>-3725.3767938051</v>
      </c>
      <c r="S24" s="65"/>
      <c r="T24" s="66">
        <f>IF(P24="","",IF(G24="買",(P24-H24),(H24-P24))*IF(RIGHT($D$2,3)="JPY",100,10000))</f>
        <v>-31</v>
      </c>
      <c r="U24" s="66"/>
      <c r="V24" s="56">
        <f>IF(S24&lt;&gt;"",IF(S24&lt;0,1+V23,0),"")</f>
      </c>
      <c r="W24" s="68">
        <f>IF(T24&lt;&gt;"",IF(T24&lt;0,1+W23,0),"")</f>
        <v>3</v>
      </c>
      <c r="X24" s="71">
        <f>IF(C24&lt;&gt;"",MAX(X23,C24),"")</f>
        <v>131979.197003051</v>
      </c>
      <c r="Y24" s="72">
        <f>IF(X24&lt;&gt;"",1-(C24/X24),"")</f>
        <v>0.0591000000000052</v>
      </c>
    </row>
    <row r="25" ht="14" customHeight="1">
      <c r="A25" s="13"/>
      <c r="B25" s="30">
        <v>17</v>
      </c>
      <c r="C25" s="21">
        <f>IF(R24="","",C24+R24)</f>
        <v>120453.849666365</v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5">
        <f>IF(T25&lt;&gt;"",IF(T25&lt;0,1+W24,0),"")</f>
      </c>
      <c r="X25" s="71">
        <f>IF(C25&lt;&gt;"",MAX(X24,C25),"")</f>
        <v>131979.197003051</v>
      </c>
      <c r="Y25" s="72">
        <f>IF(X25&lt;&gt;"",1-(C25/X25),"")</f>
        <v>0.0873270000000043</v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5">
        <f>IF(T26&lt;&gt;"",IF(T26&lt;0,1+W25,0),"")</f>
      </c>
      <c r="X26" t="s" s="76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t="s" s="76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2.2" defaultRowHeight="13.5" customHeight="1" outlineLevelRow="0" outlineLevelCol="0"/>
  <cols>
    <col min="1" max="1" width="4" style="79" customWidth="1"/>
    <col min="2" max="18" width="9.21094" style="79" customWidth="1"/>
    <col min="19" max="21" width="12.2109" style="79" customWidth="1"/>
    <col min="22" max="23" hidden="1" width="12.2" style="79" customWidth="1"/>
    <col min="24" max="25" width="12.2109" style="79" customWidth="1"/>
    <col min="26" max="256" width="12.2109" style="79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55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57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s="80"/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53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3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4">
        <f>IF(P10="","",IF(G10="買",(P10-H10),(H10-P10))*IF(RIGHT($D$2,3)="JPY",100,10000))</f>
      </c>
      <c r="U10" s="66"/>
      <c r="V10" t="s" s="81">
        <f>IF(T10&lt;&gt;"",IF(T10&gt;0,1+V9,0),"")</f>
      </c>
      <c r="W10" t="s" s="75">
        <f>IF(T10&lt;&gt;"",IF(T10&lt;0,1+W9,0),"")</f>
      </c>
      <c r="X10" s="71">
        <f>IF(C10&lt;&gt;"",MAX(C10,C9),"")</f>
        <v>110526.315789474</v>
      </c>
      <c r="Y10" s="7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3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4">
        <f>IF(P11="","",IF(G11="買",(P11-H11),(H11-P11))*IF(RIGHT($D$2,3)="JPY",100,10000))</f>
      </c>
      <c r="U11" s="66"/>
      <c r="V11" t="s" s="81">
        <f>IF(T11&lt;&gt;"",IF(T11&gt;0,1+V10,0),"")</f>
      </c>
      <c r="W11" t="s" s="75">
        <f>IF(T11&lt;&gt;"",IF(T11&lt;0,1+W10,0),"")</f>
      </c>
      <c r="X11" t="s" s="76">
        <f>IF(C11&lt;&gt;"",MAX(X10,C11),"")</f>
      </c>
      <c r="Y11" t="s" s="8">
        <f>IF(X11&lt;&gt;"",1-(C11/X11),"")</f>
      </c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81">
        <f>IF(T12&lt;&gt;"",IF(T12&gt;0,1+V11,0),"")</f>
      </c>
      <c r="W12" t="s" s="75">
        <f>IF(T12&lt;&gt;"",IF(T12&lt;0,1+W11,0),"")</f>
      </c>
      <c r="X12" t="s" s="76">
        <f>IF(C12&lt;&gt;"",MAX(X11,C12),"")</f>
      </c>
      <c r="Y12" t="s" s="8">
        <f>IF(X12&lt;&gt;"",1-(C12/X12),"")</f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81">
        <f>IF(T13&lt;&gt;"",IF(T13&gt;0,1+V12,0),"")</f>
      </c>
      <c r="W13" t="s" s="75">
        <f>IF(T13&lt;&gt;"",IF(T13&lt;0,1+W12,0),"")</f>
      </c>
      <c r="X13" t="s" s="76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81">
        <f>IF(T14&lt;&gt;"",IF(T14&gt;0,1+V13,0),"")</f>
      </c>
      <c r="W14" t="s" s="75">
        <f>IF(T14&lt;&gt;"",IF(T14&lt;0,1+W13,0),"")</f>
      </c>
      <c r="X14" t="s" s="76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81">
        <f>IF(T15&lt;&gt;"",IF(T15&gt;0,1+V14,0),"")</f>
      </c>
      <c r="W15" t="s" s="75">
        <f>IF(T15&lt;&gt;"",IF(T15&lt;0,1+W14,0),"")</f>
      </c>
      <c r="X15" t="s" s="76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81">
        <f>IF(T16&lt;&gt;"",IF(T16&gt;0,1+V15,0),"")</f>
      </c>
      <c r="W16" t="s" s="75">
        <f>IF(T16&lt;&gt;"",IF(T16&lt;0,1+W15,0),"")</f>
      </c>
      <c r="X16" t="s" s="76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81">
        <f>IF(T17&lt;&gt;"",IF(T17&gt;0,1+V16,0),"")</f>
      </c>
      <c r="W17" t="s" s="75">
        <f>IF(T17&lt;&gt;"",IF(T17&lt;0,1+W16,0),"")</f>
      </c>
      <c r="X17" t="s" s="76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81">
        <f>IF(T18&lt;&gt;"",IF(T18&gt;0,1+V17,0),"")</f>
      </c>
      <c r="W18" t="s" s="75">
        <f>IF(T18&lt;&gt;"",IF(T18&lt;0,1+W17,0),"")</f>
      </c>
      <c r="X18" t="s" s="76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81">
        <f>IF(T19&lt;&gt;"",IF(T19&gt;0,1+V18,0),"")</f>
      </c>
      <c r="W19" t="s" s="75">
        <f>IF(T19&lt;&gt;"",IF(T19&lt;0,1+W18,0),"")</f>
      </c>
      <c r="X19" t="s" s="76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81">
        <f>IF(T20&lt;&gt;"",IF(T20&gt;0,1+V19,0),"")</f>
      </c>
      <c r="W20" t="s" s="75">
        <f>IF(T20&lt;&gt;"",IF(T20&lt;0,1+W19,0),"")</f>
      </c>
      <c r="X20" t="s" s="76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81">
        <f>IF(T21&lt;&gt;"",IF(T21&gt;0,1+V20,0),"")</f>
      </c>
      <c r="W21" t="s" s="75">
        <f>IF(T21&lt;&gt;"",IF(T21&lt;0,1+W20,0),"")</f>
      </c>
      <c r="X21" t="s" s="76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81">
        <f>IF(T22&lt;&gt;"",IF(T22&gt;0,1+V21,0),"")</f>
      </c>
      <c r="W22" t="s" s="75">
        <f>IF(T22&lt;&gt;"",IF(T22&lt;0,1+W21,0),"")</f>
      </c>
      <c r="X22" t="s" s="76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5">
        <f>IF(T23&lt;&gt;"",IF(T23&lt;0,1+W22,0),"")</f>
      </c>
      <c r="X23" t="s" s="76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5">
        <f>IF(T24&lt;&gt;"",IF(T24&lt;0,1+W23,0),"")</f>
      </c>
      <c r="X24" t="s" s="76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5">
        <f>IF(T25&lt;&gt;"",IF(T25&lt;0,1+W24,0),"")</f>
      </c>
      <c r="X25" t="s" s="76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5">
        <f>IF(T26&lt;&gt;"",IF(T26&lt;0,1+W25,0),"")</f>
      </c>
      <c r="X26" t="s" s="76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t="s" s="76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3" priority="1" operator="lessThan" stopIfTrue="1">
      <formula>0</formula>
    </cfRule>
  </conditionalFormatting>
  <conditionalFormatting sqref="G9:G10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12.2" defaultRowHeight="13.5" customHeight="1" outlineLevelRow="0" outlineLevelCol="0"/>
  <cols>
    <col min="1" max="1" width="4" style="82" customWidth="1"/>
    <col min="2" max="18" width="9.21094" style="82" customWidth="1"/>
    <col min="19" max="21" width="12.2109" style="82" customWidth="1"/>
    <col min="22" max="23" hidden="1" width="12.2" style="82" customWidth="1"/>
    <col min="24" max="25" width="12.2109" style="82" customWidth="1"/>
    <col min="26" max="256" width="12.2109" style="82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110526.315789474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55</v>
      </c>
      <c r="E3" s="25"/>
      <c r="F3" s="25"/>
      <c r="G3" s="25"/>
      <c r="H3" s="25"/>
      <c r="I3" s="25"/>
      <c r="J3" t="s" s="14">
        <v>25</v>
      </c>
      <c r="K3" s="15"/>
      <c r="L3" t="s" s="24">
        <v>59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10526.3157894737</v>
      </c>
      <c r="E4" s="27"/>
      <c r="F4" t="s" s="14">
        <v>28</v>
      </c>
      <c r="G4" s="15"/>
      <c r="H4" s="28">
        <f>SUM($T$9:$U$108)</f>
        <v>200</v>
      </c>
      <c r="I4" s="19"/>
      <c r="J4" t="s" s="14">
        <v>57</v>
      </c>
      <c r="K4" s="15"/>
      <c r="L4" s="21">
        <f>MAX($C$9:$D$990)-C9</f>
        <v>10526.315789474</v>
      </c>
      <c r="M4" s="21"/>
      <c r="N4" t="s" s="14">
        <v>29</v>
      </c>
      <c r="O4" s="15"/>
      <c r="P4" s="29">
        <f>MAX(Y1:Y993)</f>
        <v>0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>
        <f>MAX(V9:V993)</f>
      </c>
      <c r="M5" s="32"/>
      <c r="N5" t="s" s="33">
        <v>35</v>
      </c>
      <c r="O5" s="34"/>
      <c r="P5" s="35">
        <f>MAX(W9:W993)</f>
        <v>0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36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  <c r="V8" s="56"/>
      <c r="W8" s="11"/>
      <c r="X8" s="57"/>
      <c r="Y8" t="s" s="8">
        <v>51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2001</v>
      </c>
      <c r="F9" s="63">
        <v>42111</v>
      </c>
      <c r="G9" t="s" s="18">
        <v>53</v>
      </c>
      <c r="H9" s="30">
        <v>1</v>
      </c>
      <c r="I9" s="19"/>
      <c r="J9" s="30">
        <v>57</v>
      </c>
      <c r="K9" s="21">
        <f>IF(J9="","",C9*0.03)</f>
        <v>3000</v>
      </c>
      <c r="L9" s="21"/>
      <c r="M9" s="64">
        <f>IF(J9="","",(K9/J9)/LOOKUP(RIGHT($D$2,3),'定数'!$A$6:$A$13,'定数'!$B$6:$B$13))</f>
        <v>0.43859649122807</v>
      </c>
      <c r="N9" s="30">
        <v>2001</v>
      </c>
      <c r="O9" s="63">
        <v>42111</v>
      </c>
      <c r="P9" s="30">
        <v>1.02</v>
      </c>
      <c r="Q9" s="19"/>
      <c r="R9" s="27">
        <f>IF(P9="","",T9*M9*LOOKUP(RIGHT($D$2,3),'定数'!$A$6:$A$13,'定数'!$B$6:$B$13))</f>
        <v>10526.3157894737</v>
      </c>
      <c r="S9" s="65"/>
      <c r="T9" s="66">
        <f>IF(P9="","",IF(G9="買",(P9-H9),(H9-P9))*IF(RIGHT($D$2,3)="JPY",100,10000))</f>
        <v>200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110526.315789474</v>
      </c>
      <c r="D10" s="21"/>
      <c r="E10" s="19"/>
      <c r="F10" s="63"/>
      <c r="G10" s="19"/>
      <c r="H10" s="19"/>
      <c r="I10" s="19"/>
      <c r="J10" s="19"/>
      <c r="K10" t="s" s="73">
        <f>IF(J10="","",C10*0.03)</f>
      </c>
      <c r="L10" s="70"/>
      <c r="M10" t="s" s="18">
        <f>IF(J10="","",(K10/J10)/LOOKUP(RIGHT($D$2,3),'定数'!$A$6:$A$13,'定数'!$B$6:$B$13))</f>
      </c>
      <c r="N10" s="19"/>
      <c r="O10" s="63"/>
      <c r="P10" s="19"/>
      <c r="Q10" s="19"/>
      <c r="R10" t="s" s="18">
        <f>IF(P10="","",T10*M10*LOOKUP(RIGHT($D$2,3),'定数'!$A$6:$A$13,'定数'!$B$6:$B$13))</f>
      </c>
      <c r="S10" s="65"/>
      <c r="T10" t="s" s="74">
        <f>IF(P10="","",IF(G10="買",(P10-H10),(H10-P10))*IF(RIGHT($D$2,3)="JPY",100,10000))</f>
      </c>
      <c r="U10" s="66"/>
      <c r="V10" t="s" s="81">
        <f>IF(T10&lt;&gt;"",IF(T10&gt;0,1+V9,0),"")</f>
      </c>
      <c r="W10" t="s" s="75">
        <f>IF(T10&lt;&gt;"",IF(T10&lt;0,1+W9,0),"")</f>
      </c>
      <c r="X10" s="71">
        <f>IF(C10&lt;&gt;"",MAX(C10,C9),"")</f>
        <v>110526.315789474</v>
      </c>
      <c r="Y10" s="7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s="19"/>
      <c r="H11" s="19"/>
      <c r="I11" s="19"/>
      <c r="J11" s="19"/>
      <c r="K11" t="s" s="73">
        <f>IF(J11="","",C11*0.03)</f>
      </c>
      <c r="L11" s="70"/>
      <c r="M11" t="s" s="18">
        <f>IF(J11="","",(K11/J11)/LOOKUP(RIGHT($D$2,3),'定数'!$A$6:$A$13,'定数'!$B$6:$B$13))</f>
      </c>
      <c r="N11" s="19"/>
      <c r="O11" s="63"/>
      <c r="P11" s="19"/>
      <c r="Q11" s="19"/>
      <c r="R11" t="s" s="18">
        <f>IF(P11="","",T11*M11*LOOKUP(RIGHT($D$2,3),'定数'!$A$6:$A$13,'定数'!$B$6:$B$13))</f>
      </c>
      <c r="S11" s="65"/>
      <c r="T11" t="s" s="74">
        <f>IF(P11="","",IF(G11="買",(P11-H11),(H11-P11))*IF(RIGHT($D$2,3)="JPY",100,10000))</f>
      </c>
      <c r="U11" s="66"/>
      <c r="V11" t="s" s="81">
        <f>IF(T11&lt;&gt;"",IF(T11&gt;0,1+V10,0),"")</f>
      </c>
      <c r="W11" t="s" s="75">
        <f>IF(T11&lt;&gt;"",IF(T11&lt;0,1+W10,0),"")</f>
      </c>
      <c r="X11" t="s" s="76">
        <f>IF(C11&lt;&gt;"",MAX(X10,C11),"")</f>
      </c>
      <c r="Y11" t="s" s="8">
        <f>IF(X11&lt;&gt;"",1-(C11/X11),"")</f>
      </c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81">
        <f>IF(T12&lt;&gt;"",IF(T12&gt;0,1+V11,0),"")</f>
      </c>
      <c r="W12" t="s" s="75">
        <f>IF(T12&lt;&gt;"",IF(T12&lt;0,1+W11,0),"")</f>
      </c>
      <c r="X12" t="s" s="76">
        <f>IF(C12&lt;&gt;"",MAX(X11,C12),"")</f>
      </c>
      <c r="Y12" t="s" s="8">
        <f>IF(X12&lt;&gt;"",1-(C12/X12),"")</f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81">
        <f>IF(T13&lt;&gt;"",IF(T13&gt;0,1+V12,0),"")</f>
      </c>
      <c r="W13" t="s" s="75">
        <f>IF(T13&lt;&gt;"",IF(T13&lt;0,1+W12,0),"")</f>
      </c>
      <c r="X13" t="s" s="76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81">
        <f>IF(T14&lt;&gt;"",IF(T14&gt;0,1+V13,0),"")</f>
      </c>
      <c r="W14" t="s" s="75">
        <f>IF(T14&lt;&gt;"",IF(T14&lt;0,1+W13,0),"")</f>
      </c>
      <c r="X14" t="s" s="76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81">
        <f>IF(T15&lt;&gt;"",IF(T15&gt;0,1+V14,0),"")</f>
      </c>
      <c r="W15" t="s" s="75">
        <f>IF(T15&lt;&gt;"",IF(T15&lt;0,1+W14,0),"")</f>
      </c>
      <c r="X15" t="s" s="76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81">
        <f>IF(T16&lt;&gt;"",IF(T16&gt;0,1+V15,0),"")</f>
      </c>
      <c r="W16" t="s" s="75">
        <f>IF(T16&lt;&gt;"",IF(T16&lt;0,1+W15,0),"")</f>
      </c>
      <c r="X16" t="s" s="76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81">
        <f>IF(T17&lt;&gt;"",IF(T17&gt;0,1+V16,0),"")</f>
      </c>
      <c r="W17" t="s" s="75">
        <f>IF(T17&lt;&gt;"",IF(T17&lt;0,1+W16,0),"")</f>
      </c>
      <c r="X17" t="s" s="76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81">
        <f>IF(T18&lt;&gt;"",IF(T18&gt;0,1+V17,0),"")</f>
      </c>
      <c r="W18" t="s" s="75">
        <f>IF(T18&lt;&gt;"",IF(T18&lt;0,1+W17,0),"")</f>
      </c>
      <c r="X18" t="s" s="76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81">
        <f>IF(T19&lt;&gt;"",IF(T19&gt;0,1+V18,0),"")</f>
      </c>
      <c r="W19" t="s" s="75">
        <f>IF(T19&lt;&gt;"",IF(T19&lt;0,1+W18,0),"")</f>
      </c>
      <c r="X19" t="s" s="76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81">
        <f>IF(T20&lt;&gt;"",IF(T20&gt;0,1+V19,0),"")</f>
      </c>
      <c r="W20" t="s" s="75">
        <f>IF(T20&lt;&gt;"",IF(T20&lt;0,1+W19,0),"")</f>
      </c>
      <c r="X20" t="s" s="76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81">
        <f>IF(T21&lt;&gt;"",IF(T21&gt;0,1+V20,0),"")</f>
      </c>
      <c r="W21" t="s" s="75">
        <f>IF(T21&lt;&gt;"",IF(T21&lt;0,1+W20,0),"")</f>
      </c>
      <c r="X21" t="s" s="76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81">
        <f>IF(T22&lt;&gt;"",IF(T22&gt;0,1+V21,0),"")</f>
      </c>
      <c r="W22" t="s" s="75">
        <f>IF(T22&lt;&gt;"",IF(T22&lt;0,1+W21,0),"")</f>
      </c>
      <c r="X22" t="s" s="76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5">
        <f>IF(T23&lt;&gt;"",IF(T23&lt;0,1+W22,0),"")</f>
      </c>
      <c r="X23" t="s" s="76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5">
        <f>IF(T24&lt;&gt;"",IF(T24&lt;0,1+W23,0),"")</f>
      </c>
      <c r="X24" t="s" s="76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5">
        <f>IF(T25&lt;&gt;"",IF(T25&lt;0,1+W24,0),"")</f>
      </c>
      <c r="X25" t="s" s="76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5">
        <f>IF(T26&lt;&gt;"",IF(T26&lt;0,1+W25,0),"")</f>
      </c>
      <c r="X26" t="s" s="76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5">
        <f>IF(T27&lt;&gt;"",IF(T27&lt;0,1+W26,0),"")</f>
      </c>
      <c r="X27" t="s" s="76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5">
        <f>IF(T28&lt;&gt;"",IF(T28&lt;0,1+W27,0),"")</f>
      </c>
      <c r="X28" t="s" s="76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5">
        <f>IF(T29&lt;&gt;"",IF(T29&lt;0,1+W28,0),"")</f>
      </c>
      <c r="X29" t="s" s="76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5">
        <f>IF(T30&lt;&gt;"",IF(T30&lt;0,1+W29,0),"")</f>
      </c>
      <c r="X30" t="s" s="76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5">
        <f>IF(T31&lt;&gt;"",IF(T31&lt;0,1+W30,0),"")</f>
      </c>
      <c r="X31" t="s" s="76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5">
        <f>IF(T32&lt;&gt;"",IF(T32&lt;0,1+W31,0),"")</f>
      </c>
      <c r="X32" t="s" s="76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5">
        <f>IF(T33&lt;&gt;"",IF(T33&lt;0,1+W32,0),"")</f>
      </c>
      <c r="X33" t="s" s="76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5">
        <f>IF(T34&lt;&gt;"",IF(T34&lt;0,1+W33,0),"")</f>
      </c>
      <c r="X34" t="s" s="76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5">
        <f>IF(T35&lt;&gt;"",IF(T35&lt;0,1+W34,0),"")</f>
      </c>
      <c r="X35" t="s" s="76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5">
        <f>IF(T36&lt;&gt;"",IF(T36&lt;0,1+W35,0),"")</f>
      </c>
      <c r="X36" t="s" s="76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5">
        <f>IF(T37&lt;&gt;"",IF(T37&lt;0,1+W36,0),"")</f>
      </c>
      <c r="X37" t="s" s="76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5">
        <f>IF(T38&lt;&gt;"",IF(T38&lt;0,1+W37,0),"")</f>
      </c>
      <c r="X38" t="s" s="76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t="s" s="76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R9:U108">
    <cfRule type="cellIs" dxfId="6" priority="1" operator="lessThan" stopIfTrue="1">
      <formula>0</formula>
    </cfRule>
  </conditionalFormatting>
  <conditionalFormatting sqref="G9:G108">
    <cfRule type="cellIs" dxfId="7" priority="1" operator="equal" stopIfTrue="1">
      <formula>"買"</formula>
    </cfRule>
    <cfRule type="cellIs" dxfId="8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2.2" defaultRowHeight="14.25" customHeight="1" outlineLevelRow="0" outlineLevelCol="0"/>
  <cols>
    <col min="1" max="1" width="10.4219" style="83" customWidth="1"/>
    <col min="2" max="2" width="11.4219" style="83" customWidth="1"/>
    <col min="3" max="5" width="12.2109" style="83" customWidth="1"/>
    <col min="6" max="256" width="12.2109" style="83" customWidth="1"/>
  </cols>
  <sheetData>
    <row r="1" ht="14" customHeight="1">
      <c r="A1" s="11"/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12.6" defaultRowHeight="13.5" customHeight="1" outlineLevelRow="0" outlineLevelCol="0"/>
  <cols>
    <col min="1" max="10" width="12.6016" style="84" customWidth="1"/>
    <col min="11" max="256" width="12.6016" style="84" customWidth="1"/>
  </cols>
  <sheetData>
    <row r="1" ht="14" customHeight="1">
      <c r="A1" t="s" s="75">
        <v>62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s="85"/>
      <c r="B2" s="86"/>
      <c r="C2" s="86"/>
      <c r="D2" s="86"/>
      <c r="E2" s="86"/>
      <c r="F2" s="86"/>
      <c r="G2" s="86"/>
      <c r="H2" s="86"/>
      <c r="I2" s="86"/>
      <c r="J2" s="86"/>
    </row>
    <row r="3" ht="8" customHeight="1">
      <c r="A3" s="86"/>
      <c r="B3" s="86"/>
      <c r="C3" s="86"/>
      <c r="D3" s="86"/>
      <c r="E3" s="86"/>
      <c r="F3" s="86"/>
      <c r="G3" s="86"/>
      <c r="H3" s="86"/>
      <c r="I3" s="86"/>
      <c r="J3" s="86"/>
    </row>
    <row r="4" ht="8" customHeight="1">
      <c r="A4" s="86"/>
      <c r="B4" s="86"/>
      <c r="C4" s="86"/>
      <c r="D4" s="86"/>
      <c r="E4" s="86"/>
      <c r="F4" s="86"/>
      <c r="G4" s="86"/>
      <c r="H4" s="86"/>
      <c r="I4" s="86"/>
      <c r="J4" s="86"/>
    </row>
    <row r="5" ht="8" customHeight="1">
      <c r="A5" s="86"/>
      <c r="B5" s="86"/>
      <c r="C5" s="86"/>
      <c r="D5" s="86"/>
      <c r="E5" s="86"/>
      <c r="F5" s="86"/>
      <c r="G5" s="86"/>
      <c r="H5" s="86"/>
      <c r="I5" s="86"/>
      <c r="J5" s="86"/>
    </row>
    <row r="6" ht="8" customHeight="1">
      <c r="A6" s="86"/>
      <c r="B6" s="86"/>
      <c r="C6" s="86"/>
      <c r="D6" s="86"/>
      <c r="E6" s="86"/>
      <c r="F6" s="86"/>
      <c r="G6" s="86"/>
      <c r="H6" s="86"/>
      <c r="I6" s="86"/>
      <c r="J6" s="86"/>
    </row>
    <row r="7" ht="8" customHeight="1">
      <c r="A7" s="86"/>
      <c r="B7" s="86"/>
      <c r="C7" s="86"/>
      <c r="D7" s="86"/>
      <c r="E7" s="86"/>
      <c r="F7" s="86"/>
      <c r="G7" s="86"/>
      <c r="H7" s="86"/>
      <c r="I7" s="86"/>
      <c r="J7" s="86"/>
    </row>
    <row r="8" ht="8" customHeight="1">
      <c r="A8" s="86"/>
      <c r="B8" s="86"/>
      <c r="C8" s="86"/>
      <c r="D8" s="86"/>
      <c r="E8" s="86"/>
      <c r="F8" s="86"/>
      <c r="G8" s="86"/>
      <c r="H8" s="86"/>
      <c r="I8" s="86"/>
      <c r="J8" s="86"/>
    </row>
    <row r="9" ht="8.5" customHeight="1">
      <c r="A9" s="86"/>
      <c r="B9" s="86"/>
      <c r="C9" s="86"/>
      <c r="D9" s="86"/>
      <c r="E9" s="86"/>
      <c r="F9" s="86"/>
      <c r="G9" s="86"/>
      <c r="H9" s="86"/>
      <c r="I9" s="86"/>
      <c r="J9" s="86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5">
        <v>63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s="87"/>
      <c r="B12" s="88"/>
      <c r="C12" s="88"/>
      <c r="D12" s="88"/>
      <c r="E12" s="88"/>
      <c r="F12" s="88"/>
      <c r="G12" s="88"/>
      <c r="H12" s="88"/>
      <c r="I12" s="88"/>
      <c r="J12" s="88"/>
    </row>
    <row r="13" ht="8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</row>
    <row r="14" ht="8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</row>
    <row r="15" ht="8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</row>
    <row r="16" ht="8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</row>
    <row r="17" ht="8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</row>
    <row r="18" ht="8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</row>
    <row r="19" ht="8.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5">
        <v>64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7"/>
      <c r="B22" s="87"/>
      <c r="C22" s="87"/>
      <c r="D22" s="87"/>
      <c r="E22" s="87"/>
      <c r="F22" s="87"/>
      <c r="G22" s="87"/>
      <c r="H22" s="87"/>
      <c r="I22" s="87"/>
      <c r="J22" s="87"/>
    </row>
    <row r="23" ht="8" customHeight="1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ht="8" customHeight="1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ht="8" customHeight="1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ht="8" customHeight="1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ht="8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ht="8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ht="8.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12.4" defaultRowHeight="17.25" customHeight="1" outlineLevelRow="0" outlineLevelCol="0"/>
  <cols>
    <col min="1" max="1" width="4.42188" style="89" customWidth="1"/>
    <col min="2" max="2" width="18.6016" style="89" customWidth="1"/>
    <col min="3" max="3" width="22" style="89" customWidth="1"/>
    <col min="4" max="4" width="18.2109" style="89" customWidth="1"/>
    <col min="5" max="9" width="22.2109" style="89" customWidth="1"/>
    <col min="10" max="256" width="12.4219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65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66</v>
      </c>
      <c r="C4" t="s" s="92">
        <v>17</v>
      </c>
      <c r="D4" t="s" s="92">
        <v>20</v>
      </c>
      <c r="E4" t="s" s="92">
        <v>67</v>
      </c>
      <c r="F4" t="s" s="92">
        <v>68</v>
      </c>
      <c r="G4" t="s" s="92">
        <v>67</v>
      </c>
      <c r="H4" t="s" s="92">
        <v>69</v>
      </c>
      <c r="I4" t="s" s="92">
        <v>67</v>
      </c>
    </row>
    <row r="5" ht="17" customHeight="1">
      <c r="A5" s="13"/>
      <c r="B5" t="s" s="93">
        <v>70</v>
      </c>
      <c r="C5" t="s" s="93">
        <v>71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70</v>
      </c>
      <c r="C6" t="s" s="93">
        <v>72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70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70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70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70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70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70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12.2" defaultRowHeight="13.5" customHeight="1" outlineLevelRow="0" outlineLevelCol="0"/>
  <cols>
    <col min="1" max="1" width="4" style="96" customWidth="1"/>
    <col min="2" max="18" width="9.21094" style="96" customWidth="1"/>
    <col min="19" max="21" width="12.2109" style="96" customWidth="1"/>
    <col min="22" max="256" width="12.2109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20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55</v>
      </c>
      <c r="E3" s="25"/>
      <c r="F3" s="25"/>
      <c r="G3" s="25"/>
      <c r="H3" s="25"/>
      <c r="I3" s="25"/>
      <c r="J3" t="s" s="14">
        <v>25</v>
      </c>
      <c r="K3" s="15"/>
      <c r="L3" t="s" s="24">
        <v>74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75</v>
      </c>
      <c r="K4" s="15"/>
      <c r="L4" s="21">
        <f>MAX($C$9:$D$990)-C9</f>
        <v>153684.21052632</v>
      </c>
      <c r="M4" s="21"/>
      <c r="N4" t="s" s="14">
        <v>76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30</v>
      </c>
      <c r="C5" s="30">
        <f>COUNTIF($R$9:$R$990,"&gt;0")</f>
        <v>1</v>
      </c>
      <c r="D5" t="s" s="14">
        <v>31</v>
      </c>
      <c r="E5" s="30">
        <f>COUNTIF($R$9:$R$990,"&lt;0")</f>
        <v>0</v>
      </c>
      <c r="F5" t="s" s="14">
        <v>32</v>
      </c>
      <c r="G5" s="30">
        <f>COUNTIF($R$9:$R$990,"=0")</f>
        <v>0</v>
      </c>
      <c r="H5" t="s" s="14">
        <v>33</v>
      </c>
      <c r="I5" s="29">
        <f>C5/SUM(C5,E5,G5)</f>
        <v>1</v>
      </c>
      <c r="J5" t="s" s="14">
        <v>34</v>
      </c>
      <c r="K5" s="15"/>
      <c r="L5" s="31"/>
      <c r="M5" s="32"/>
      <c r="N5" t="s" s="33">
        <v>35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37</v>
      </c>
      <c r="C7" t="s" s="43">
        <v>38</v>
      </c>
      <c r="D7" s="44"/>
      <c r="E7" t="s" s="45">
        <v>39</v>
      </c>
      <c r="F7" s="46"/>
      <c r="G7" s="46"/>
      <c r="H7" s="46"/>
      <c r="I7" s="47"/>
      <c r="J7" t="s" s="48">
        <v>40</v>
      </c>
      <c r="K7" s="49"/>
      <c r="L7" s="50"/>
      <c r="M7" t="s" s="18">
        <v>41</v>
      </c>
      <c r="N7" t="s" s="51">
        <v>42</v>
      </c>
      <c r="O7" s="52"/>
      <c r="P7" s="52"/>
      <c r="Q7" s="53"/>
      <c r="R7" t="s" s="54">
        <v>43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44</v>
      </c>
      <c r="F8" t="s" s="60">
        <v>45</v>
      </c>
      <c r="G8" t="s" s="60">
        <v>46</v>
      </c>
      <c r="H8" t="s" s="45">
        <v>47</v>
      </c>
      <c r="I8" s="47"/>
      <c r="J8" t="s" s="61">
        <v>48</v>
      </c>
      <c r="K8" t="s" s="48">
        <v>49</v>
      </c>
      <c r="L8" s="50"/>
      <c r="M8" s="19"/>
      <c r="N8" t="s" s="62">
        <v>44</v>
      </c>
      <c r="O8" t="s" s="62">
        <v>45</v>
      </c>
      <c r="P8" t="s" s="51">
        <v>47</v>
      </c>
      <c r="Q8" s="53"/>
      <c r="R8" t="s" s="54">
        <v>50</v>
      </c>
      <c r="S8" s="55"/>
      <c r="T8" t="s" s="54">
        <v>48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53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53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53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52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52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53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53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53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53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53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53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53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53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52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53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53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53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53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52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53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52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52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52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52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53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52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52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52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52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53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53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53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52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53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52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53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52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53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53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52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53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53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52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52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53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53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52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52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52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52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52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52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52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52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53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52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52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52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52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53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53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52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53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52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53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53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52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52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52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53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52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53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52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52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52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52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53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52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53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53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53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53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53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52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53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52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53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52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53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52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53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53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52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52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52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53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52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53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53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52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9" priority="1" operator="lessThan" stopIfTrue="1">
      <formula>0</formula>
    </cfRule>
  </conditionalFormatting>
  <conditionalFormatting sqref="G9:G108">
    <cfRule type="cellIs" dxfId="10" priority="1" operator="equal" stopIfTrue="1">
      <formula>"買"</formula>
    </cfRule>
    <cfRule type="cellIs" dxfId="11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