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<sst xmlns="http://schemas.openxmlformats.org/spreadsheetml/2006/main" uniqueCount="76">
  <si>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</si>
  <si>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</si>
  <si>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</si>
  <si>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</si>
  <si>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</si>
  <si>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</si>
  <si>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</si>
  <si>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</si>
  <si>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</si>
  <si>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</si>
  <si>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</si>
  <si>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</si>
  <si>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</si>
  <si>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</si>
  <si>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</si>
  <si>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</si>
  <si>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</si>
  <si>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</si>
  <si>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</si>
  <si>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</si>
  <si>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日足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</si>
  <si>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</si>
  <si>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</si>
  <si>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</si>
  <si>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</si>
  <si>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</si>
  <si>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</si>
  <si>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</si>
  <si>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</si>
  <si>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</si>
  <si>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</si>
  <si>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</si>
  <si>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</si>
  <si>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</si>
  <si>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</si>
  <si>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</si>
  <si>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</si>
  <si>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</si>
  <si>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</si>
  <si>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</si>
  <si>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</si>
  <si>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</si>
  <si>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</si>
  <si>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</si>
  <si>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</si>
  <si>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</si>
  <si>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</si>
  <si>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</si>
  <si>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</si>
  <si>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</si>
  <si>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</si>
  <si>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</si>
  <si>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</si>
  <si>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</si>
  <si>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</si>
  <si>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</si>
  <si>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</si>
  <si>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</si>
  <si>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</si>
  <si>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</si>
  <si>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</si>
  <si>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</si>
  <si>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感想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</si>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</sst>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Helvetica Light"/>
    </font>
    <font>
      <sz val="12"/>
      <color indexed="8"/>
      <name val="Helvetica Light"/>
    </font>
    <font>
      <sz val="14"/>
      <color indexed="8"/>
      <name val="Helvetica Light"/>
    </font>
    <font>
      <sz val="12"/>
      <color indexed="8"/>
      <name val="ヒラギノ角ゴ ProN W3"/>
    </font>
    <font>
      <u val="single"/>
      <sz val="12"/>
      <color indexed="11"/>
      <name val="Helvetica Light"/>
    </font>
    <font>
      <sz val="14"/>
      <color indexed="8"/>
      <name val="Helvetica Light"/>
    </font>
    <font>
      <sz val="11"/>
      <color indexed="17"/>
      <name val="Helvetica Light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36</xdr:row>
      <xdr:rowOff>9831</xdr:rowOff>
    </xdr:to>
    <xdr:pic>
      <xdr:nvPicPr>
        <xdr:cNvPr id="2" name="スクリーンショット 2019-08-22 21.14.08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95250" y="-10524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36</xdr:row>
      <xdr:rowOff>94799</xdr:rowOff>
    </xdr:from>
    <xdr:to>
      <xdr:col>10</xdr:col>
      <xdr:colOff>38100</xdr:colOff>
      <xdr:row>73</xdr:row>
      <xdr:rowOff>145905</xdr:rowOff>
    </xdr:to>
    <xdr:pic>
      <xdr:nvPicPr>
        <xdr:cNvPr id="3" name="スクリーンショット 2019-08-22 21.16.23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95250" y="6832149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75</xdr:row>
      <xdr:rowOff>111368</xdr:rowOff>
    </xdr:from>
    <xdr:to>
      <xdr:col>10</xdr:col>
      <xdr:colOff>38100</xdr:colOff>
      <xdr:row>112</xdr:row>
      <xdr:rowOff>162475</xdr:rowOff>
    </xdr:to>
    <xdr:pic>
      <xdr:nvPicPr>
        <xdr:cNvPr id="4" name="スクリーンショット 2019-08-22 21.18.5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95250" y="13906743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114</xdr:row>
      <xdr:rowOff>127938</xdr:rowOff>
    </xdr:from>
    <xdr:to>
      <xdr:col>10</xdr:col>
      <xdr:colOff>38100</xdr:colOff>
      <xdr:row>151</xdr:row>
      <xdr:rowOff>179044</xdr:rowOff>
    </xdr:to>
    <xdr:pic>
      <xdr:nvPicPr>
        <xdr:cNvPr id="5" name="スクリーンショット 2019-08-22 21.23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95250" y="20981338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153</xdr:row>
      <xdr:rowOff>144507</xdr:rowOff>
    </xdr:from>
    <xdr:to>
      <xdr:col>10</xdr:col>
      <xdr:colOff>38100</xdr:colOff>
      <xdr:row>191</xdr:row>
      <xdr:rowOff>14639</xdr:rowOff>
    </xdr:to>
    <xdr:pic>
      <xdr:nvPicPr>
        <xdr:cNvPr id="6" name="スクリーンショット 2019-08-22 21.27.5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95250" y="28055932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192</xdr:row>
      <xdr:rowOff>161077</xdr:rowOff>
    </xdr:from>
    <xdr:to>
      <xdr:col>10</xdr:col>
      <xdr:colOff>38100</xdr:colOff>
      <xdr:row>230</xdr:row>
      <xdr:rowOff>31208</xdr:rowOff>
    </xdr:to>
    <xdr:pic>
      <xdr:nvPicPr>
        <xdr:cNvPr id="7" name="スクリーンショット 2019-08-22 21.35.2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95250" y="35130527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231</xdr:row>
      <xdr:rowOff>40447</xdr:rowOff>
    </xdr:from>
    <xdr:to>
      <xdr:col>10</xdr:col>
      <xdr:colOff>38100</xdr:colOff>
      <xdr:row>268</xdr:row>
      <xdr:rowOff>91553</xdr:rowOff>
    </xdr:to>
    <xdr:pic>
      <xdr:nvPicPr>
        <xdr:cNvPr id="8" name="スクリーンショット 2019-08-22 21.37.2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95250" y="42067922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270</xdr:row>
      <xdr:rowOff>26238</xdr:rowOff>
    </xdr:from>
    <xdr:to>
      <xdr:col>10</xdr:col>
      <xdr:colOff>38100</xdr:colOff>
      <xdr:row>307</xdr:row>
      <xdr:rowOff>77345</xdr:rowOff>
    </xdr:to>
    <xdr:pic>
      <xdr:nvPicPr>
        <xdr:cNvPr id="9" name="スクリーンショット 2019-08-22 21.40.03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95250" y="49111738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309</xdr:row>
      <xdr:rowOff>73586</xdr:rowOff>
    </xdr:from>
    <xdr:to>
      <xdr:col>10</xdr:col>
      <xdr:colOff>38100</xdr:colOff>
      <xdr:row>346</xdr:row>
      <xdr:rowOff>124692</xdr:rowOff>
    </xdr:to>
    <xdr:pic>
      <xdr:nvPicPr>
        <xdr:cNvPr id="10" name="スクリーンショット 2019-08-22 21.43.2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95250" y="56217111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349</xdr:row>
      <xdr:rowOff>46380</xdr:rowOff>
    </xdr:from>
    <xdr:to>
      <xdr:col>10</xdr:col>
      <xdr:colOff>38100</xdr:colOff>
      <xdr:row>386</xdr:row>
      <xdr:rowOff>97486</xdr:rowOff>
    </xdr:to>
    <xdr:pic>
      <xdr:nvPicPr>
        <xdr:cNvPr id="11" name="スクリーンショット 2019-08-22 21.46.57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95250" y="63428905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388</xdr:row>
      <xdr:rowOff>77733</xdr:rowOff>
    </xdr:from>
    <xdr:to>
      <xdr:col>10</xdr:col>
      <xdr:colOff>38100</xdr:colOff>
      <xdr:row>425</xdr:row>
      <xdr:rowOff>128839</xdr:rowOff>
    </xdr:to>
    <xdr:pic>
      <xdr:nvPicPr>
        <xdr:cNvPr id="12" name="スクリーンショット 2019-08-22 21.50.03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95250" y="70518283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427</xdr:row>
      <xdr:rowOff>109086</xdr:rowOff>
    </xdr:from>
    <xdr:to>
      <xdr:col>10</xdr:col>
      <xdr:colOff>38100</xdr:colOff>
      <xdr:row>464</xdr:row>
      <xdr:rowOff>160193</xdr:rowOff>
    </xdr:to>
    <xdr:pic>
      <xdr:nvPicPr>
        <xdr:cNvPr id="13" name="スクリーンショット 2019-08-22 21.53.13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95250" y="77607661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465</xdr:row>
      <xdr:rowOff>161126</xdr:rowOff>
    </xdr:from>
    <xdr:to>
      <xdr:col>10</xdr:col>
      <xdr:colOff>38100</xdr:colOff>
      <xdr:row>503</xdr:row>
      <xdr:rowOff>31258</xdr:rowOff>
    </xdr:to>
    <xdr:pic>
      <xdr:nvPicPr>
        <xdr:cNvPr id="14" name="スクリーンショット 2019-08-22 22.06.50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95250" y="84536751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506</xdr:row>
      <xdr:rowOff>129228</xdr:rowOff>
    </xdr:from>
    <xdr:to>
      <xdr:col>10</xdr:col>
      <xdr:colOff>38100</xdr:colOff>
      <xdr:row>543</xdr:row>
      <xdr:rowOff>180334</xdr:rowOff>
    </xdr:to>
    <xdr:pic>
      <xdr:nvPicPr>
        <xdr:cNvPr id="15" name="スクリーンショット 2019-08-22 22.15.59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-95250" y="91924828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545</xdr:row>
      <xdr:rowOff>115019</xdr:rowOff>
    </xdr:from>
    <xdr:to>
      <xdr:col>10</xdr:col>
      <xdr:colOff>38100</xdr:colOff>
      <xdr:row>582</xdr:row>
      <xdr:rowOff>166126</xdr:rowOff>
    </xdr:to>
    <xdr:pic>
      <xdr:nvPicPr>
        <xdr:cNvPr id="16" name="スクリーンショット 2019-08-22 22.38.58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-95250" y="98968644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蘋果儷中黑"/>
            <a:ea typeface="蘋果儷中黑"/>
            <a:cs typeface="蘋果儷中黑"/>
            <a:sym typeface="蘋果儷中黑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蘋果儷中黑"/>
            <a:ea typeface="蘋果儷中黑"/>
            <a:cs typeface="蘋果儷中黑"/>
            <a:sym typeface="蘋果儷中黑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64</v>
      </c>
      <c r="C21" s="3"/>
      <c r="D21" s="3"/>
    </row>
    <row r="22">
      <c r="B22" s="4"/>
      <c r="C22" t="s" s="4">
        <v>5</v>
      </c>
      <c r="D22" t="s" s="5">
        <v>64</v>
      </c>
    </row>
    <row r="23">
      <c r="B23" t="s" s="3">
        <v>72</v>
      </c>
      <c r="C23" s="3"/>
      <c r="D23" s="3"/>
    </row>
    <row r="24">
      <c r="B24" s="4"/>
      <c r="C24" t="s" s="4">
        <v>5</v>
      </c>
      <c r="D24" t="s" s="5">
        <v>72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10.1667" defaultRowHeight="13.5" customHeight="1" outlineLevelRow="0" outlineLevelCol="0"/>
  <cols>
    <col min="1" max="5" width="10.1719" style="6" customWidth="1"/>
    <col min="6" max="256" width="10.1719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10" customWidth="1"/>
    <col min="2" max="18" width="7.67188" style="10" customWidth="1"/>
    <col min="19" max="21" width="10.1719" style="10" customWidth="1"/>
    <col min="22" max="23" hidden="1" width="10.1667" style="10" customWidth="1"/>
    <col min="24" max="25" width="10.1719" style="10" customWidth="1"/>
    <col min="26" max="256" width="10.1719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103630.559386859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3630.559386858640</v>
      </c>
      <c r="E4" s="27"/>
      <c r="F4" t="s" s="14">
        <v>28</v>
      </c>
      <c r="G4" s="15"/>
      <c r="H4" s="28">
        <f>SUM($T$9:$U$108)</f>
        <v>67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0.0873269999999929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5</v>
      </c>
      <c r="D5" t="s" s="14">
        <v>31</v>
      </c>
      <c r="E5" s="30">
        <f>COUNTIF($R$9:$R$990,"&lt;0")</f>
        <v>5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43721</v>
      </c>
      <c r="G9" t="s" s="18">
        <v>52</v>
      </c>
      <c r="H9" s="30">
        <v>1.297</v>
      </c>
      <c r="I9" s="19"/>
      <c r="J9" s="30">
        <v>114</v>
      </c>
      <c r="K9" s="21">
        <f>IF(J9="","",C9*0.03)</f>
        <v>3000</v>
      </c>
      <c r="L9" s="21"/>
      <c r="M9" s="64">
        <f>IF(J9="","",(K9/J9)/LOOKUP(RIGHT($D$2,3),'定数'!$A$6:$A$13,'定数'!$B$6:$B$13))</f>
        <v>0.219298245614035</v>
      </c>
      <c r="N9" s="30">
        <v>2012</v>
      </c>
      <c r="O9" s="63">
        <v>43722</v>
      </c>
      <c r="P9" s="30">
        <v>1.3113</v>
      </c>
      <c r="Q9" s="19"/>
      <c r="R9" s="27">
        <f>IF(P9="","",T9*M9*LOOKUP(RIGHT($D$2,3),'定数'!$A$6:$A$13,'定数'!$B$6:$B$13))</f>
        <v>3763.157894736840</v>
      </c>
      <c r="S9" s="65"/>
      <c r="T9" s="66">
        <f>IF(P9="","",IF(G9="買",(P9-H9),(H9-P9))*IF(RIGHT($D$2,3)="JPY",100,10000))</f>
        <v>143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103763.157894737</v>
      </c>
      <c r="D10" s="21"/>
      <c r="E10" s="30">
        <v>2012</v>
      </c>
      <c r="F10" s="63">
        <v>43727</v>
      </c>
      <c r="G10" t="s" s="18">
        <v>53</v>
      </c>
      <c r="H10" s="30">
        <v>1.3007</v>
      </c>
      <c r="I10" s="19"/>
      <c r="J10" s="30">
        <v>78</v>
      </c>
      <c r="K10" s="69">
        <f>IF(J10="","",C10*0.03)</f>
        <v>3112.894736842110</v>
      </c>
      <c r="L10" s="70"/>
      <c r="M10" s="64">
        <f>IF(J10="","",(K10/J10)/LOOKUP(RIGHT($D$2,3),'定数'!$A$6:$A$13,'定数'!$B$6:$B$13))</f>
        <v>0.332574224021593</v>
      </c>
      <c r="N10" s="30">
        <v>2012</v>
      </c>
      <c r="O10" s="63">
        <v>43732</v>
      </c>
      <c r="P10" s="30">
        <v>1.291</v>
      </c>
      <c r="Q10" s="19"/>
      <c r="R10" s="27">
        <f>IF(P10="","",T10*M10*LOOKUP(RIGHT($D$2,3),'定数'!$A$6:$A$13,'定数'!$B$6:$B$13))</f>
        <v>3871.163967611340</v>
      </c>
      <c r="S10" s="65"/>
      <c r="T10" s="66">
        <f>IF(P10="","",IF(G10="買",(P10-H10),(H10-P10))*IF(RIGHT($D$2,3)="JPY",100,10000))</f>
        <v>97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103763.157894737</v>
      </c>
      <c r="Y10" s="7"/>
    </row>
    <row r="11" ht="16" customHeight="1">
      <c r="A11" s="13"/>
      <c r="B11" s="30">
        <v>3</v>
      </c>
      <c r="C11" s="21">
        <f>IF(R10="","",C10+R10)</f>
        <v>107634.321862348</v>
      </c>
      <c r="D11" s="21"/>
      <c r="E11" s="30">
        <v>2012</v>
      </c>
      <c r="F11" s="63">
        <v>43733</v>
      </c>
      <c r="G11" t="s" s="18">
        <v>53</v>
      </c>
      <c r="H11" s="30">
        <v>1.2895</v>
      </c>
      <c r="I11" s="19"/>
      <c r="J11" s="30">
        <v>76</v>
      </c>
      <c r="K11" s="69">
        <f>IF(J11="","",C11*0.03)</f>
        <v>3229.029655870440</v>
      </c>
      <c r="L11" s="70"/>
      <c r="M11" s="64">
        <f>IF(J11="","",(K11/J11)/LOOKUP(RIGHT($D$2,3),'定数'!$A$6:$A$13,'定数'!$B$6:$B$13))</f>
        <v>0.354060269284039</v>
      </c>
      <c r="N11" s="30">
        <v>2012</v>
      </c>
      <c r="O11" s="63">
        <v>43742</v>
      </c>
      <c r="P11" s="30">
        <v>1.2971</v>
      </c>
      <c r="Q11" s="19"/>
      <c r="R11" s="27">
        <f>IF(P11="","",T11*M11*LOOKUP(RIGHT($D$2,3),'定数'!$A$6:$A$13,'定数'!$B$6:$B$13))</f>
        <v>-3229.029655870440</v>
      </c>
      <c r="S11" s="65"/>
      <c r="T11" s="66">
        <f>IF(P11="","",IF(G11="買",(P11-H11),(H11-P11))*IF(RIGHT($D$2,3)="JPY",100,10000))</f>
        <v>-76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107634.321862348</v>
      </c>
      <c r="Y11" s="72">
        <f>IF(X11&lt;&gt;"",1-(C11/X11),"")</f>
        <v>0</v>
      </c>
    </row>
    <row r="12" ht="16" customHeight="1">
      <c r="A12" s="13"/>
      <c r="B12" s="30">
        <v>4</v>
      </c>
      <c r="C12" s="21">
        <f>IF(R11="","",C11+R11)</f>
        <v>104405.292206478</v>
      </c>
      <c r="D12" s="21"/>
      <c r="E12" s="30">
        <v>2012</v>
      </c>
      <c r="F12" s="63">
        <v>43748</v>
      </c>
      <c r="G12" t="s" s="18">
        <v>53</v>
      </c>
      <c r="H12" s="30">
        <v>1.2845</v>
      </c>
      <c r="I12" s="19"/>
      <c r="J12" s="30">
        <v>68</v>
      </c>
      <c r="K12" s="69">
        <f>IF(J12="","",C12*0.03)</f>
        <v>3132.158766194340</v>
      </c>
      <c r="L12" s="70"/>
      <c r="M12" s="64">
        <f>IF(J12="","",(K12/J12)/LOOKUP(RIGHT($D$2,3),'定数'!$A$6:$A$13,'定数'!$B$6:$B$13))</f>
        <v>0.383842986053228</v>
      </c>
      <c r="N12" s="30">
        <v>2012</v>
      </c>
      <c r="O12" s="63">
        <v>43749</v>
      </c>
      <c r="P12" s="30">
        <v>1.2913</v>
      </c>
      <c r="Q12" s="19"/>
      <c r="R12" s="27">
        <f>IF(P12="","",T12*M12*LOOKUP(RIGHT($D$2,3),'定数'!$A$6:$A$13,'定数'!$B$6:$B$13))</f>
        <v>-3132.158766194340</v>
      </c>
      <c r="S12" s="65"/>
      <c r="T12" s="66">
        <f>IF(P12="","",IF(G12="買",(P12-H12),(H12-P12))*IF(RIGHT($D$2,3)="JPY",100,10000))</f>
        <v>-68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107634.321862348</v>
      </c>
      <c r="Y12" s="72">
        <f>IF(X12&lt;&gt;"",1-(C12/X12),"")</f>
        <v>0.0299999999999959</v>
      </c>
    </row>
    <row r="13" ht="16" customHeight="1">
      <c r="A13" s="13"/>
      <c r="B13" s="30">
        <v>5</v>
      </c>
      <c r="C13" s="21">
        <f>IF(R12="","",C12+R12)</f>
        <v>101273.133440284</v>
      </c>
      <c r="D13" s="21"/>
      <c r="E13" s="30">
        <v>2012</v>
      </c>
      <c r="F13" s="63">
        <v>43767</v>
      </c>
      <c r="G13" t="s" s="18">
        <v>53</v>
      </c>
      <c r="H13" s="30">
        <v>1.2927</v>
      </c>
      <c r="I13" s="19"/>
      <c r="J13" s="30">
        <v>17</v>
      </c>
      <c r="K13" s="69">
        <f>IF(J13="","",C13*0.03)</f>
        <v>3038.194003208520</v>
      </c>
      <c r="L13" s="70"/>
      <c r="M13" s="64">
        <f>IF(J13="","",(K13/J13)/LOOKUP(RIGHT($D$2,3),'定数'!$A$6:$A$13,'定数'!$B$6:$B$13))</f>
        <v>1.48931078588653</v>
      </c>
      <c r="N13" s="30">
        <v>2012</v>
      </c>
      <c r="O13" s="63">
        <v>43768</v>
      </c>
      <c r="P13" s="30">
        <v>1.2944</v>
      </c>
      <c r="Q13" s="19"/>
      <c r="R13" s="27">
        <f>IF(P13="","",T13*M13*LOOKUP(RIGHT($D$2,3),'定数'!$A$6:$A$13,'定数'!$B$6:$B$13))</f>
        <v>-3038.194003208520</v>
      </c>
      <c r="S13" s="65"/>
      <c r="T13" s="66">
        <f>IF(P13="","",IF(G13="買",(P13-H13),(H13-P13))*IF(RIGHT($D$2,3)="JPY",100,10000))</f>
        <v>-17</v>
      </c>
      <c r="U13" s="66"/>
      <c r="V13" s="67">
        <f>IF(T13&lt;&gt;"",IF(T13&gt;0,1+V12,0),"")</f>
        <v>0</v>
      </c>
      <c r="W13" s="68">
        <f>IF(T13&lt;&gt;"",IF(T13&lt;0,1+W12,0),"")</f>
        <v>3</v>
      </c>
      <c r="X13" s="71">
        <f>IF(C13&lt;&gt;"",MAX(X12,C13),"")</f>
        <v>107634.321862348</v>
      </c>
      <c r="Y13" s="72">
        <f>IF(X13&lt;&gt;"",1-(C13/X13),"")</f>
        <v>0.0590999999999929</v>
      </c>
    </row>
    <row r="14" ht="16" customHeight="1">
      <c r="A14" s="13"/>
      <c r="B14" s="30">
        <v>6</v>
      </c>
      <c r="C14" s="21">
        <f>IF(R13="","",C13+R13)</f>
        <v>98234.9394370755</v>
      </c>
      <c r="D14" s="21"/>
      <c r="E14" s="30">
        <v>2012</v>
      </c>
      <c r="F14" s="63">
        <v>43775</v>
      </c>
      <c r="G14" t="s" s="18">
        <v>52</v>
      </c>
      <c r="H14" s="30">
        <v>1.2802</v>
      </c>
      <c r="I14" s="19"/>
      <c r="J14" s="30">
        <v>40</v>
      </c>
      <c r="K14" s="69">
        <f>IF(J14="","",C14*0.03)</f>
        <v>2947.048183112260</v>
      </c>
      <c r="L14" s="70"/>
      <c r="M14" s="64">
        <f>IF(J14="","",(K14/J14)/LOOKUP(RIGHT($D$2,3),'定数'!$A$6:$A$13,'定数'!$B$6:$B$13))</f>
        <v>0.613968371481721</v>
      </c>
      <c r="N14" s="30">
        <v>2012</v>
      </c>
      <c r="O14" s="63">
        <v>43776</v>
      </c>
      <c r="P14" s="30">
        <v>1.2851</v>
      </c>
      <c r="Q14" s="19"/>
      <c r="R14" s="27">
        <f>IF(P14="","",T14*M14*LOOKUP(RIGHT($D$2,3),'定数'!$A$6:$A$13,'定数'!$B$6:$B$13))</f>
        <v>3610.134024312520</v>
      </c>
      <c r="S14" s="65"/>
      <c r="T14" s="66">
        <f>IF(P14="","",IF(G14="買",(P14-H14),(H14-P14))*IF(RIGHT($D$2,3)="JPY",100,10000))</f>
        <v>49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107634.321862348</v>
      </c>
      <c r="Y14" s="72">
        <f>IF(X14&lt;&gt;"",1-(C14/X14),"")</f>
        <v>0.0873269999999929</v>
      </c>
    </row>
    <row r="15" ht="16" customHeight="1">
      <c r="A15" s="13"/>
      <c r="B15" s="30">
        <v>7</v>
      </c>
      <c r="C15" s="21">
        <f>IF(R14="","",C14+R14)</f>
        <v>101845.073461388</v>
      </c>
      <c r="D15" s="21"/>
      <c r="E15" s="30">
        <v>2012</v>
      </c>
      <c r="F15" s="63">
        <v>43778</v>
      </c>
      <c r="G15" t="s" s="18">
        <v>53</v>
      </c>
      <c r="H15" s="30">
        <v>1.2727</v>
      </c>
      <c r="I15" s="19"/>
      <c r="J15" s="30">
        <v>64</v>
      </c>
      <c r="K15" s="69">
        <f>IF(J15="","",C15*0.03)</f>
        <v>3055.352203841640</v>
      </c>
      <c r="L15" s="70"/>
      <c r="M15" s="64">
        <f>IF(J15="","",(K15/J15)/LOOKUP(RIGHT($D$2,3),'定数'!$A$6:$A$13,'定数'!$B$6:$B$13))</f>
        <v>0.397832318208547</v>
      </c>
      <c r="N15" s="30">
        <v>2012</v>
      </c>
      <c r="O15" s="63">
        <v>43784</v>
      </c>
      <c r="P15" s="30">
        <v>1.279</v>
      </c>
      <c r="Q15" s="19"/>
      <c r="R15" s="27">
        <f>IF(P15="","",T15*M15*LOOKUP(RIGHT($D$2,3),'定数'!$A$6:$A$13,'定数'!$B$6:$B$13))</f>
        <v>-3007.612325656620</v>
      </c>
      <c r="S15" s="65"/>
      <c r="T15" s="66">
        <f>IF(P15="","",IF(G15="買",(P15-H15),(H15-P15))*IF(RIGHT($D$2,3)="JPY",100,10000))</f>
        <v>-63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107634.321862348</v>
      </c>
      <c r="Y15" s="72">
        <f>IF(X15&lt;&gt;"",1-(C15/X15),"")</f>
        <v>0.0537862672499929</v>
      </c>
    </row>
    <row r="16" ht="16" customHeight="1">
      <c r="A16" s="13"/>
      <c r="B16" s="30">
        <v>8</v>
      </c>
      <c r="C16" s="21">
        <f>IF(R15="","",C15+R15)</f>
        <v>98837.4611357314</v>
      </c>
      <c r="D16" s="21"/>
      <c r="E16" s="30">
        <v>2012</v>
      </c>
      <c r="F16" s="63">
        <v>43784</v>
      </c>
      <c r="G16" t="s" s="18">
        <v>52</v>
      </c>
      <c r="H16" s="30">
        <v>1.2754</v>
      </c>
      <c r="I16" s="19"/>
      <c r="J16" s="30">
        <v>38</v>
      </c>
      <c r="K16" s="69">
        <f>IF(J16="","",C16*0.03)</f>
        <v>2965.123834071940</v>
      </c>
      <c r="L16" s="70"/>
      <c r="M16" s="64">
        <f>IF(J16="","",(K16/J16)/LOOKUP(RIGHT($D$2,3),'定数'!$A$6:$A$13,'定数'!$B$6:$B$13))</f>
        <v>0.6502464548403381</v>
      </c>
      <c r="N16" s="30">
        <v>2012</v>
      </c>
      <c r="O16" s="63">
        <v>43784</v>
      </c>
      <c r="P16" s="30">
        <v>1.28</v>
      </c>
      <c r="Q16" s="19"/>
      <c r="R16" s="27">
        <f>IF(P16="","",T16*M16*LOOKUP(RIGHT($D$2,3),'定数'!$A$6:$A$13,'定数'!$B$6:$B$13))</f>
        <v>3589.360430718670</v>
      </c>
      <c r="S16" s="65"/>
      <c r="T16" s="66">
        <f>IF(P16="","",IF(G16="買",(P16-H16),(H16-P16))*IF(RIGHT($D$2,3)="JPY",100,10000))</f>
        <v>46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107634.321862348</v>
      </c>
      <c r="Y16" s="72">
        <f>IF(X16&lt;&gt;"",1-(C16/X16),"")</f>
        <v>0.08172914154526641</v>
      </c>
    </row>
    <row r="17" ht="16" customHeight="1">
      <c r="A17" s="13"/>
      <c r="B17" s="30">
        <v>9</v>
      </c>
      <c r="C17" s="21">
        <f>IF(R16="","",C16+R16)</f>
        <v>102426.82156645</v>
      </c>
      <c r="D17" s="21"/>
      <c r="E17" s="30">
        <v>2012</v>
      </c>
      <c r="F17" s="63">
        <v>43796</v>
      </c>
      <c r="G17" t="s" s="18">
        <v>52</v>
      </c>
      <c r="H17" s="30">
        <v>1.3175</v>
      </c>
      <c r="I17" s="19"/>
      <c r="J17" s="30">
        <v>110</v>
      </c>
      <c r="K17" s="69">
        <f>IF(J17="","",C17*0.03)</f>
        <v>3072.8046469935</v>
      </c>
      <c r="L17" s="70"/>
      <c r="M17" s="64">
        <f>IF(J17="","",(K17/J17)/LOOKUP(RIGHT($D$2,3),'定数'!$A$6:$A$13,'定数'!$B$6:$B$13))</f>
        <v>0.232788230832841</v>
      </c>
      <c r="N17" s="30">
        <v>2013</v>
      </c>
      <c r="O17" s="63">
        <v>43468</v>
      </c>
      <c r="P17" s="30">
        <v>1.3065</v>
      </c>
      <c r="Q17" s="19"/>
      <c r="R17" s="27">
        <f>IF(P17="","",T17*M17*LOOKUP(RIGHT($D$2,3),'定数'!$A$6:$A$13,'定数'!$B$6:$B$13))</f>
        <v>-3072.8046469935</v>
      </c>
      <c r="S17" s="65"/>
      <c r="T17" s="66">
        <f>IF(P17="","",IF(G17="買",(P17-H17),(H17-P17))*IF(RIGHT($D$2,3)="JPY",100,10000))</f>
        <v>-110</v>
      </c>
      <c r="U17" s="66"/>
      <c r="V17" s="67">
        <f>IF(T17&lt;&gt;"",IF(T17&gt;0,1+V16,0),"")</f>
        <v>0</v>
      </c>
      <c r="W17" s="68">
        <f>IF(T17&lt;&gt;"",IF(T17&lt;0,1+W16,0),"")</f>
        <v>1</v>
      </c>
      <c r="X17" s="71">
        <f>IF(C17&lt;&gt;"",MAX(X16,C17),"")</f>
        <v>107634.321862348</v>
      </c>
      <c r="Y17" s="72">
        <f>IF(X17&lt;&gt;"",1-(C17/X17),"")</f>
        <v>0.0483814103698056</v>
      </c>
    </row>
    <row r="18" ht="16" customHeight="1">
      <c r="A18" s="13"/>
      <c r="B18" s="30">
        <v>10</v>
      </c>
      <c r="C18" s="21">
        <f>IF(R17="","",C17+R17)</f>
        <v>99354.0169194565</v>
      </c>
      <c r="D18" s="21"/>
      <c r="E18" s="30">
        <v>2013</v>
      </c>
      <c r="F18" s="63">
        <v>43497</v>
      </c>
      <c r="G18" t="s" s="18">
        <v>52</v>
      </c>
      <c r="H18" s="30">
        <v>1.3623</v>
      </c>
      <c r="I18" s="19"/>
      <c r="J18" s="30">
        <v>46</v>
      </c>
      <c r="K18" s="69">
        <f>IF(J18="","",C18*0.03)</f>
        <v>2980.620507583690</v>
      </c>
      <c r="L18" s="70"/>
      <c r="M18" s="64">
        <f>IF(J18="","",(K18/J18)/LOOKUP(RIGHT($D$2,3),'定数'!$A$6:$A$13,'定数'!$B$6:$B$13))</f>
        <v>0.539967483257915</v>
      </c>
      <c r="N18" s="30">
        <v>2013</v>
      </c>
      <c r="O18" s="63">
        <v>43497</v>
      </c>
      <c r="P18" s="30">
        <v>1.3689</v>
      </c>
      <c r="Q18" s="19"/>
      <c r="R18" s="27">
        <f>IF(P18="","",T18*M18*LOOKUP(RIGHT($D$2,3),'定数'!$A$6:$A$13,'定数'!$B$6:$B$13))</f>
        <v>4276.542467402690</v>
      </c>
      <c r="S18" s="65"/>
      <c r="T18" s="66">
        <f>IF(P18="","",IF(G18="買",(P18-H18),(H18-P18))*IF(RIGHT($D$2,3)="JPY",100,10000))</f>
        <v>66</v>
      </c>
      <c r="U18" s="66"/>
      <c r="V18" s="67">
        <f>IF(T18&lt;&gt;"",IF(T18&gt;0,1+V17,0),"")</f>
        <v>1</v>
      </c>
      <c r="W18" s="68">
        <f>IF(T18&lt;&gt;"",IF(T18&lt;0,1+W17,0),"")</f>
        <v>0</v>
      </c>
      <c r="X18" s="71">
        <f>IF(C18&lt;&gt;"",MAX(X17,C18),"")</f>
        <v>107634.321862348</v>
      </c>
      <c r="Y18" s="72">
        <f>IF(X18&lt;&gt;"",1-(C18/X18),"")</f>
        <v>0.0769299680587115</v>
      </c>
    </row>
    <row r="19" ht="16" customHeight="1">
      <c r="A19" s="13"/>
      <c r="B19" s="30">
        <v>11</v>
      </c>
      <c r="C19" s="21">
        <f>IF(R18="","",C18+R18)</f>
        <v>103630.559386859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107634.321862348</v>
      </c>
      <c r="Y19" s="72">
        <f>IF(X19&lt;&gt;"",1-(C19/X19),"")</f>
        <v>0.0371978232055882</v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80" customWidth="1"/>
    <col min="2" max="18" width="7.67188" style="80" customWidth="1"/>
    <col min="19" max="21" width="10.1719" style="80" customWidth="1"/>
    <col min="22" max="23" hidden="1" width="10.1667" style="80" customWidth="1"/>
    <col min="24" max="25" width="10.1719" style="80" customWidth="1"/>
    <col min="26" max="256" width="10.1719" style="8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55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56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1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82" customWidth="1"/>
    <col min="2" max="18" width="7.67188" style="82" customWidth="1"/>
    <col min="19" max="21" width="10.1719" style="82" customWidth="1"/>
    <col min="22" max="23" hidden="1" width="10.1667" style="82" customWidth="1"/>
    <col min="24" max="25" width="10.1719" style="82" customWidth="1"/>
    <col min="26" max="256" width="10.1719" style="82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56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1667" defaultRowHeight="14.25" customHeight="1" outlineLevelRow="0" outlineLevelCol="0"/>
  <cols>
    <col min="1" max="1" width="8.67188" style="83" customWidth="1"/>
    <col min="2" max="2" width="9.5" style="83" customWidth="1"/>
    <col min="3" max="5" width="10.1719" style="83" customWidth="1"/>
    <col min="6" max="256" width="10.1719" style="83" customWidth="1"/>
  </cols>
  <sheetData>
    <row r="1" ht="16" customHeight="1">
      <c r="A1" s="11"/>
      <c r="B1" s="11"/>
      <c r="C1" s="7"/>
      <c r="D1" s="7"/>
      <c r="E1" s="7"/>
    </row>
    <row r="2" ht="16" customHeight="1">
      <c r="A2" s="11"/>
      <c r="B2" s="11"/>
      <c r="C2" s="7"/>
      <c r="D2" s="7"/>
      <c r="E2" s="7"/>
    </row>
    <row r="3" ht="16" customHeight="1">
      <c r="A3" s="11"/>
      <c r="B3" s="11"/>
      <c r="C3" s="7"/>
      <c r="D3" s="7"/>
      <c r="E3" s="7"/>
    </row>
    <row r="4" ht="16" customHeight="1">
      <c r="A4" s="11"/>
      <c r="B4" s="11"/>
      <c r="C4" s="7"/>
      <c r="D4" s="7"/>
      <c r="E4" s="7"/>
    </row>
    <row r="5" ht="16" customHeight="1">
      <c r="A5" s="11"/>
      <c r="B5" s="11"/>
      <c r="C5" s="7"/>
      <c r="D5" s="7"/>
      <c r="E5" s="7"/>
    </row>
    <row r="6" ht="16" customHeight="1">
      <c r="A6" s="11"/>
      <c r="B6" s="11"/>
      <c r="C6" s="7"/>
      <c r="D6" s="7"/>
      <c r="E6" s="7"/>
    </row>
    <row r="7" ht="16" customHeight="1">
      <c r="A7" s="11"/>
      <c r="B7" s="11"/>
      <c r="C7" s="7"/>
      <c r="D7" s="7"/>
      <c r="E7" s="7"/>
    </row>
    <row r="8" ht="16" customHeight="1">
      <c r="A8" s="11"/>
      <c r="B8" s="11"/>
      <c r="C8" s="7"/>
      <c r="D8" s="7"/>
      <c r="E8" s="7"/>
    </row>
    <row r="9" ht="16" customHeight="1">
      <c r="A9" s="11"/>
      <c r="B9" s="11"/>
      <c r="C9" s="7"/>
      <c r="D9" s="7"/>
      <c r="E9" s="7"/>
    </row>
    <row r="10" ht="16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10.5" defaultRowHeight="13.5" customHeight="1" outlineLevelRow="0" outlineLevelCol="0"/>
  <cols>
    <col min="1" max="10" width="10.5" style="84" customWidth="1"/>
    <col min="11" max="256" width="10.5" style="84" customWidth="1"/>
  </cols>
  <sheetData>
    <row r="1" ht="16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s="85"/>
      <c r="B2" s="86"/>
      <c r="C2" s="86"/>
      <c r="D2" s="86"/>
      <c r="E2" s="86"/>
      <c r="F2" s="86"/>
      <c r="G2" s="86"/>
      <c r="H2" s="86"/>
      <c r="I2" s="86"/>
      <c r="J2" s="86"/>
    </row>
    <row r="3" ht="8" customHeight="1">
      <c r="A3" s="86"/>
      <c r="B3" s="86"/>
      <c r="C3" s="86"/>
      <c r="D3" s="86"/>
      <c r="E3" s="86"/>
      <c r="F3" s="86"/>
      <c r="G3" s="86"/>
      <c r="H3" s="86"/>
      <c r="I3" s="86"/>
      <c r="J3" s="86"/>
    </row>
    <row r="4" ht="8" customHeight="1">
      <c r="A4" s="86"/>
      <c r="B4" s="86"/>
      <c r="C4" s="86"/>
      <c r="D4" s="86"/>
      <c r="E4" s="86"/>
      <c r="F4" s="86"/>
      <c r="G4" s="86"/>
      <c r="H4" s="86"/>
      <c r="I4" s="86"/>
      <c r="J4" s="86"/>
    </row>
    <row r="5" ht="8" customHeight="1">
      <c r="A5" s="86"/>
      <c r="B5" s="86"/>
      <c r="C5" s="86"/>
      <c r="D5" s="86"/>
      <c r="E5" s="86"/>
      <c r="F5" s="86"/>
      <c r="G5" s="86"/>
      <c r="H5" s="86"/>
      <c r="I5" s="86"/>
      <c r="J5" s="86"/>
    </row>
    <row r="6" ht="8" customHeight="1">
      <c r="A6" s="86"/>
      <c r="B6" s="86"/>
      <c r="C6" s="86"/>
      <c r="D6" s="86"/>
      <c r="E6" s="86"/>
      <c r="F6" s="86"/>
      <c r="G6" s="86"/>
      <c r="H6" s="86"/>
      <c r="I6" s="86"/>
      <c r="J6" s="86"/>
    </row>
    <row r="7" ht="8" customHeight="1">
      <c r="A7" s="86"/>
      <c r="B7" s="86"/>
      <c r="C7" s="86"/>
      <c r="D7" s="86"/>
      <c r="E7" s="86"/>
      <c r="F7" s="86"/>
      <c r="G7" s="86"/>
      <c r="H7" s="86"/>
      <c r="I7" s="86"/>
      <c r="J7" s="86"/>
    </row>
    <row r="8" ht="8" customHeight="1">
      <c r="A8" s="86"/>
      <c r="B8" s="86"/>
      <c r="C8" s="86"/>
      <c r="D8" s="86"/>
      <c r="E8" s="86"/>
      <c r="F8" s="86"/>
      <c r="G8" s="86"/>
      <c r="H8" s="86"/>
      <c r="I8" s="86"/>
      <c r="J8" s="86"/>
    </row>
    <row r="9" ht="8.5" customHeight="1">
      <c r="A9" s="86"/>
      <c r="B9" s="86"/>
      <c r="C9" s="86"/>
      <c r="D9" s="86"/>
      <c r="E9" s="86"/>
      <c r="F9" s="86"/>
      <c r="G9" s="86"/>
      <c r="H9" s="86"/>
      <c r="I9" s="86"/>
      <c r="J9" s="86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76">
        <v>62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7"/>
      <c r="B12" s="88"/>
      <c r="C12" s="88"/>
      <c r="D12" s="88"/>
      <c r="E12" s="88"/>
      <c r="F12" s="88"/>
      <c r="G12" s="88"/>
      <c r="H12" s="88"/>
      <c r="I12" s="88"/>
      <c r="J12" s="88"/>
    </row>
    <row r="13" ht="8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ht="8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ht="8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ht="8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ht="8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ht="8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ht="8.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76">
        <v>63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10.3333" defaultRowHeight="17.25" customHeight="1" outlineLevelRow="0" outlineLevelCol="0"/>
  <cols>
    <col min="1" max="1" width="3.67188" style="89" customWidth="1"/>
    <col min="2" max="2" width="15.5" style="89" customWidth="1"/>
    <col min="3" max="3" width="18.3516" style="89" customWidth="1"/>
    <col min="4" max="4" width="15.1719" style="89" customWidth="1"/>
    <col min="5" max="9" width="18.5" style="89" customWidth="1"/>
    <col min="10" max="256" width="10.3516" style="89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90">
        <v>64</v>
      </c>
      <c r="C2" s="91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92">
        <v>65</v>
      </c>
      <c r="C4" t="s" s="92">
        <v>17</v>
      </c>
      <c r="D4" t="s" s="92">
        <v>20</v>
      </c>
      <c r="E4" t="s" s="92">
        <v>66</v>
      </c>
      <c r="F4" t="s" s="92">
        <v>67</v>
      </c>
      <c r="G4" t="s" s="92">
        <v>66</v>
      </c>
      <c r="H4" t="s" s="92">
        <v>68</v>
      </c>
      <c r="I4" t="s" s="92">
        <v>66</v>
      </c>
    </row>
    <row r="5" ht="20" customHeight="1">
      <c r="A5" s="13"/>
      <c r="B5" t="s" s="93">
        <v>69</v>
      </c>
      <c r="C5" t="s" s="93">
        <v>70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20" customHeight="1">
      <c r="A6" s="13"/>
      <c r="B6" t="s" s="93">
        <v>69</v>
      </c>
      <c r="C6" t="s" s="93">
        <v>71</v>
      </c>
      <c r="D6" s="94">
        <v>46</v>
      </c>
      <c r="E6" s="95">
        <v>42195</v>
      </c>
      <c r="F6" s="26"/>
      <c r="G6" s="26"/>
      <c r="H6" s="26"/>
      <c r="I6" s="26"/>
    </row>
    <row r="7" ht="20" customHeight="1">
      <c r="A7" s="13"/>
      <c r="B7" t="s" s="93">
        <v>69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93">
        <v>69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93">
        <v>69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93">
        <v>69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93">
        <v>69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93">
        <v>69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96" customWidth="1"/>
    <col min="2" max="18" width="7.67188" style="96" customWidth="1"/>
    <col min="19" max="21" width="10.1719" style="96" customWidth="1"/>
    <col min="22" max="256" width="10.1719" style="96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73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74</v>
      </c>
      <c r="K4" s="15"/>
      <c r="L4" s="21">
        <f>MAX($C$9:$D$990)-C9</f>
        <v>153684.21052632</v>
      </c>
      <c r="M4" s="21"/>
      <c r="N4" t="s" s="14">
        <v>75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52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52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52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52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52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52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52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52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52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52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52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52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52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52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52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52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52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52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52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52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52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52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52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52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52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52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52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52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52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52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52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52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52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52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52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52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52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52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52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52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52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52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52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52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52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52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52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52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52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52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