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665"/>
  </bookViews>
  <sheets>
    <sheet name="検証シート" sheetId="1" r:id="rId1"/>
    <sheet name="画像" sheetId="2" r:id="rId2"/>
    <sheet name="気づき" sheetId="3" r:id="rId3"/>
    <sheet name="検証終了通貨" sheetId="4" r:id="rId4"/>
  </sheets>
  <calcPr calcId="144525"/>
</workbook>
</file>

<file path=xl/sharedStrings.xml><?xml version="1.0" encoding="utf-8"?>
<sst xmlns="http://schemas.openxmlformats.org/spreadsheetml/2006/main" count="107">
  <si>
    <t>通貨ペア</t>
  </si>
  <si>
    <t>EURUSD</t>
  </si>
  <si>
    <t>時間足</t>
  </si>
  <si>
    <t>1h</t>
  </si>
  <si>
    <t>当初資金</t>
  </si>
  <si>
    <t>エントリー理由</t>
  </si>
  <si>
    <t>初期ﾚﾝｼﾞ初動(高値/安値の更新が鈍くなりﾀﾞｲﾊﾞｰｼﾞｪﾝｽ発生)</t>
  </si>
  <si>
    <t>初期ﾚﾝｼﾞ初動(高値/安値が殆ど同値だが未更新になりMACDも弱くなる)</t>
  </si>
  <si>
    <t>初期ﾚﾝｼﾞ内＋FIB38.2以上戻＋BB2σ到達＋MACD弱体化</t>
  </si>
  <si>
    <t>初期ﾚﾝｼﾞ内＋FIB38.2以上戻</t>
  </si>
  <si>
    <t>初期ﾚﾝｼﾞ内＋FIB38.2以内戻＋BB2σ到達＋MACD弱体化</t>
  </si>
  <si>
    <t>初期ﾚﾝｼﾞ外＋FIB38.2以上戻＋BB2σ到達＋MACD弱体化</t>
  </si>
  <si>
    <t>初期ﾚﾝｼﾞ外＋FIB38.2以内戻＋BB2σ到達＋MACD弱体化</t>
  </si>
  <si>
    <t>継続ﾚﾝｼﾞ条件(高値/安値の更新が鈍くなりﾀﾞｲﾊﾞｰｼﾞｪﾝｽ発生)</t>
  </si>
  <si>
    <t>決済理由</t>
  </si>
  <si>
    <t>【指値決済】FIBﾀｰｹﾞｯﾄ1.27/1.5/2.0で決済</t>
  </si>
  <si>
    <t>【ﾄﾚｲﾘﾝｸﾞｽﾄｯﾌﾟ①】CMAﾄﾚｲﾘﾝｸﾞｽﾄｯﾌﾟ＋FIB2到達でLC同値</t>
  </si>
  <si>
    <t>【ﾄﾚｲﾘﾝｸﾞｽﾄｯﾌﾟ②】ｴﾝﾄﾘｰ条件成立でﾄﾚｲﾘﾝｸﾞｽﾄｯﾌﾟ＋FIB2到達でLC同値</t>
  </si>
  <si>
    <t>　　　⇒初期ﾚﾝｼﾞFIB38.2以上戻でﾄﾞﾃﾝ決済</t>
  </si>
  <si>
    <t>No.</t>
  </si>
  <si>
    <t>エントリー</t>
  </si>
  <si>
    <t>ｴﾝﾄﾘｰ
理由</t>
  </si>
  <si>
    <t>決済(利確:1.27~2, 損切:-1,引分:0)</t>
  </si>
  <si>
    <t>ﾄﾚｲﾘｨﾝｸﾞｽﾄｯﾌﾟ</t>
  </si>
  <si>
    <t>残金（円)</t>
  </si>
  <si>
    <t>損失上限（リスク3%）</t>
  </si>
  <si>
    <t>損益額</t>
  </si>
  <si>
    <t>発生事象</t>
  </si>
  <si>
    <t>想定ｿﾞｰﾝ</t>
  </si>
  <si>
    <t>気付</t>
  </si>
  <si>
    <t>日付</t>
  </si>
  <si>
    <t>買い1／売り2</t>
  </si>
  <si>
    <t>CMAﾙｰﾙ</t>
  </si>
  <si>
    <t>ｴﾝﾄﾘｰ条件
初期ﾚﾝｼﾞﾄﾞﾃﾝ</t>
  </si>
  <si>
    <t>CMAﾙｰﾙTS</t>
  </si>
  <si>
    <t>ｴﾝﾄﾘｰ条件TS
初期ﾚﾝｼﾞﾄﾞﾃﾝ</t>
  </si>
  <si>
    <t>当初</t>
  </si>
  <si>
    <t>高値/安値更新鈍化＋ﾀﾞｲﾊﾞｰｼﾞｪﾝｽ発生
(ﾄﾚﾝﾄﾞ転換兆候発生)</t>
  </si>
  <si>
    <t>底</t>
  </si>
  <si>
    <t>高値/安値更新が鈍くなりﾀﾞｲﾊﾞｰｼﾞｪﾝｽ発生後(ﾄﾚﾝﾄﾞ転換兆候)はｴﾝﾄﾘｰするべきじゃない</t>
  </si>
  <si>
    <t>最安値の起点高値およびFIB23.6を突破
(初期ﾚﾝｼﾞの可能性上昇)</t>
  </si>
  <si>
    <t>初期ﾚﾝｼﾞﾈｯｸﾗｲﾝ</t>
  </si>
  <si>
    <r>
      <rPr>
        <sz val="11"/>
        <rFont val="游ゴシック"/>
        <charset val="128"/>
      </rPr>
      <t>FIB50強戻から上昇　</t>
    </r>
    <r>
      <rPr>
        <sz val="11"/>
        <color rgb="FFFF0000"/>
        <rFont val="游ゴシック"/>
        <charset val="128"/>
      </rPr>
      <t>※ｴﾝﾄﾘｰｻｲﾝ未発生</t>
    </r>
  </si>
  <si>
    <t>初期ﾚﾝｼﾞ戻</t>
  </si>
  <si>
    <t>相場分析で初期ｿﾞｰﾝの戻条件達成なら、ｴﾝﾄﾘｰｻｲﾝ未発生でもｴﾝﾄﾘｰして良いのでは？</t>
  </si>
  <si>
    <t>天井</t>
  </si>
  <si>
    <t>最高値の起点安値およびFIB38.2を突破
(初期ﾚﾝｼﾞの可能性上昇)</t>
  </si>
  <si>
    <t>FIB50強戻から下落＋ｴﾝﾄﾘｰｻｲﾝ発生。</t>
  </si>
  <si>
    <t>下降ﾄﾚﾝﾄﾞ初期ﾚﾝｼﾞ戻</t>
  </si>
  <si>
    <t>ｴﾝﾄﾘｰ条件重複⇒鉄板？</t>
  </si>
  <si>
    <t>初期ﾚﾝｼﾞﾈｯｸﾗｲﾝ(想定)を微更新FIB50弱
＋上昇ｻｲﾝ＋ﾀﾞｲﾊﾞｰｼﾞｪﾝｽ発生
(ﾄﾚﾝﾄﾞ転換兆候発生)</t>
  </si>
  <si>
    <t>上昇ﾄﾚﾝﾄﾞ押目</t>
  </si>
  <si>
    <t>初期ﾚﾝｼﾞﾈｯｸﾗｲﾝか直近ﾄﾚﾝﾄﾞ押目かは判断難しいため上位足で俯瞰して見るべし！！！
⇒日足でﾚﾝｼﾞのド真中だった。方向性判らないためｴﾝﾄﾘｰするべきじゃない！！
⇒結果から見ると初期ﾚﾝｼﾞﾌﾞﾚｲｸ直後に浅く戻ってﾌｧｰｽﾄｽﾄﾗｲｸとなって下落していった。</t>
  </si>
  <si>
    <t>初期ﾚﾝｼﾞﾌﾞﾚｲｸ直後のﾈｯｸﾗｲﾝ戻から下落
FIB23.6</t>
  </si>
  <si>
    <t>初期ﾚﾝｼﾞﾌｧｰｽﾄｽﾄﾗｲｸ</t>
  </si>
  <si>
    <t>最安値の起点高値およびFIB38.2を突破
(初期ﾚﾝｼﾞの可能性上昇)</t>
  </si>
  <si>
    <t>FIB61.8戻から上昇＋ｴﾝﾄﾘｰｻｲﾝ発生。</t>
  </si>
  <si>
    <t>ｴﾝﾄﾘｰ条件重複⇒鉄板？　ﾎﾞﾘﾝｼﾞｬｰﾊﾞﾝﾄﾞ2σはﾀｯﾁより明確ﾌﾞﾁ抜の方が良い？</t>
  </si>
  <si>
    <t>FIB61.8戻＋Wﾎﾞﾄﾑ＋ｴﾝﾄﾘｰｻｲﾝ発生</t>
  </si>
  <si>
    <r>
      <rPr>
        <sz val="11"/>
        <color theme="1"/>
        <rFont val="游ゴシック"/>
        <charset val="128"/>
      </rPr>
      <t xml:space="preserve">初期ﾚﾝｼﾞﾌﾞﾚｲｸ直後のﾈｯｸﾗｲﾝ戻から上昇
</t>
    </r>
    <r>
      <rPr>
        <sz val="11"/>
        <color rgb="FFFF0000"/>
        <rFont val="游ゴシック"/>
        <charset val="128"/>
      </rPr>
      <t>FIB12</t>
    </r>
  </si>
  <si>
    <t>戻が浅すぎる？</t>
  </si>
  <si>
    <r>
      <rPr>
        <sz val="11"/>
        <color theme="1"/>
        <rFont val="游ゴシック"/>
        <charset val="128"/>
      </rPr>
      <t xml:space="preserve">初期ﾚﾝｼﾞﾌﾞﾚｲｸ直後のﾈｯｸﾗｲﾝ戻から上昇
</t>
    </r>
    <r>
      <rPr>
        <sz val="11"/>
        <color rgb="FFFF0000"/>
        <rFont val="游ゴシック"/>
        <charset val="128"/>
      </rPr>
      <t>FIB38.2</t>
    </r>
    <r>
      <rPr>
        <sz val="11"/>
        <color rgb="FFFF0000"/>
        <rFont val="游ゴシック"/>
        <charset val="128"/>
      </rPr>
      <t>弱</t>
    </r>
  </si>
  <si>
    <t>ﾈｯｸﾗｲﾝからFIB61.8強戻</t>
  </si>
  <si>
    <t>ﾈｯｸﾗｲﾝからFIB78.6強戻</t>
  </si>
  <si>
    <t>ﾈｯｸﾗｲﾝからFIB100弱戻</t>
  </si>
  <si>
    <t>ﾈｯｸﾗｲﾝからFIB100強戻</t>
  </si>
  <si>
    <t>ﾈｯｸﾗｲﾝからFIB38.2戻</t>
  </si>
  <si>
    <t>ﾈｯｸﾗｲﾝ突破</t>
  </si>
  <si>
    <t>上昇ﾄﾚﾝﾄﾞ</t>
  </si>
  <si>
    <t>ﾀﾞｲﾊﾞｰｼﾞｪﾝｽで入って良いのは価格が微更新の時のみ？</t>
  </si>
  <si>
    <t>継続ﾚﾝｼﾞ(ﾌﾗｯｸﾞ)底値
ﾀﾞｲﾊﾞｰｼﾞｪﾝｽ</t>
  </si>
  <si>
    <t>最高値の起点安値およびFIB23.6を突破
(初期ﾚﾝｼﾞの可能性上昇)</t>
  </si>
  <si>
    <t>ﾈｯｸﾗｲﾝからFIB50強戻</t>
  </si>
  <si>
    <t>最安値の起点高値突破⇒FIB78.6弱戻
(初期ﾚﾝｼﾞもしくは継続ﾚﾝｼﾞのWﾎﾞﾄﾑ)</t>
  </si>
  <si>
    <t>MACDが弱まっている方にｴﾝﾄﾘｰするべきではない？</t>
  </si>
  <si>
    <t>MACDの山上昇途中ではなく下降途中でｴﾝﾄﾘｰするべき？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</si>
  <si>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</si>
  <si>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</si>
  <si>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</si>
  <si>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</si>
  <si>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</si>
  <si>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</si>
  <si>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</si>
  <si>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</si>
  <si>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ﾘｽｸﾘﾜｰﾄﾞ</t>
  </si>
  <si>
    <t>EURUSD　1h足の検証結果（期間：2020.3.16～9.4）</t>
  </si>
  <si>
    <t>＜補　足＞</t>
  </si>
  <si>
    <t>・FIB(赤)：ﾄﾚｲﾘﾝｸﾞｽﾄｯﾌﾟが損切となったｴﾝﾄﾘｰ</t>
  </si>
  <si>
    <t>・FIB(白)：ﾄﾚｲﾘﾝｸﾞｽﾄｯﾌﾟが同値撤退となったｴﾝﾄﾘｰ</t>
  </si>
  <si>
    <t>・FIB(青)：ﾄﾚｲﾘﾝｸﾞｽﾄｯﾌﾟで利益が出たｴﾝﾄﾘｰ</t>
  </si>
  <si>
    <t>※FIB(黄)：日足の検証結果を1h足で表示したもの</t>
  </si>
  <si>
    <t>＜検証期間全体表示(ｴﾝﾄﾘｰﾎﾟｲﾝﾄは拡大)＞</t>
  </si>
  <si>
    <t>＜気付き/質問＞</t>
  </si>
  <si>
    <t xml:space="preserve">・FIB分析初期ﾚﾝｼﾞ付近でｴﾝﾄﾘｰ（ﾀﾞｲﾊﾞｰｼﾞｪﾝｽ、ﾈｯｸﾗｲﾝ戻り、ﾌﾞﾚｲｸ後戻り）出来たときは利益を伸ばせるｹｰｽが多かった。
・FIB分析初期ﾚﾝｼﾞ内で、これまでのﾄﾚﾝﾄﾞに順張しない方が良い気がするが、初期ﾚﾝｼﾞを否定されて継続ﾚﾝｼﾞになることもあるため、今後の検証が必要。
　⇒初期ﾚﾝｼﾞか継続ﾚﾝｼﾞかの判断精度を高める・・・・不可能？
　⇒継続ﾚﾝｼﾞの可能性は切り捨てて、初期ﾚﾝｼﾞとしてﾄﾚｰﾄﾞする？
　⇒今回同様に、初期ﾚﾝｼﾞ/継続ﾚﾝｼﾞ両方の可能性を考えてｴﾝﾄﾘｰするが、半分利食いなどで、トータルで微利益となり玉も持てるようにする？
</t>
  </si>
  <si>
    <t>＜感　想＞</t>
  </si>
  <si>
    <t>検証回数は足りていないが、現状、月利400％は十分な結果だと思う。
パソコンに張付けない状況になるデモトレで、成績がどれ位低下するか気になる。</t>
  </si>
  <si>
    <t>＜今　後＞</t>
  </si>
  <si>
    <t>①複数のｴﾝﾄﾘｰﾙｰﾙを同時に検証しており1つ1つの検証回数が少ないため過去ﾁｬｰﾄでの検証を継続する。
②とは言え、時間が掛かり過ぎているためﾃﾞﾓﾄﾚｰﾄﾞも開始したい。
③現在の検証をある程度こなしたら、水平線やﾄﾚﾝﾄﾞﾗｲﾝを取り入れて検証を行い勝率UPを模索したい。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</si>
  <si>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</si>
  <si>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</si>
  <si>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</si>
  <si>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</si>
  <si>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</si>
  <si>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</si>
  <si>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</si>
  <si>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</si>
  <si>
    <t>〇</t>
  </si>
</sst>
</file>

<file path=xl/styles.xml><?xml version="1.0" encoding="utf-8"?>
<styleSheet xmlns="http://schemas.openxmlformats.org/spreadsheetml/2006/main">
  <numFmts count="12">
    <numFmt numFmtId="176" formatCode="_ * #,##0_ ;_ * \-#,##0_ ;_ * &quot;-&quot;??_ ;_ @_ "/>
    <numFmt numFmtId="177" formatCode="_-&quot;\&quot;* #,##0.00_-\ ;\-&quot;\&quot;* #,##0.00_-\ ;_-&quot;\&quot;* &quot;-&quot;??_-\ ;_-@_-"/>
    <numFmt numFmtId="178" formatCode="0_ "/>
    <numFmt numFmtId="179" formatCode="_-&quot;\&quot;* #,##0_-\ ;\-&quot;\&quot;* #,##0_-\ ;_-&quot;\&quot;* &quot;-&quot;??_-\ ;_-@_-"/>
    <numFmt numFmtId="180" formatCode="yyyy/m/d;@"/>
    <numFmt numFmtId="181" formatCode="0.0000_ "/>
    <numFmt numFmtId="182" formatCode="#,##0_);[Red]\(#,##0\)"/>
    <numFmt numFmtId="183" formatCode="yyyy&quot;年&quot;m&quot;月&quot;d&quot;日&quot;;@"/>
    <numFmt numFmtId="184" formatCode="0.0_ "/>
    <numFmt numFmtId="185" formatCode="#,##0_ "/>
    <numFmt numFmtId="186" formatCode="0.00_ "/>
    <numFmt numFmtId="187" formatCode="0.0%"/>
  </numFmts>
  <fonts count="41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indexed="8"/>
      <name val="ＭＳ Ｐゴシック"/>
      <charset val="128"/>
    </font>
    <font>
      <sz val="11"/>
      <color rgb="FF000000"/>
      <name val="ＭＳ Ｐゴシック"/>
      <charset val="128"/>
    </font>
    <font>
      <b/>
      <sz val="20"/>
      <color indexed="8"/>
      <name val="ＭＳ Ｐゴシック"/>
      <charset val="128"/>
    </font>
    <font>
      <sz val="20"/>
      <color indexed="8"/>
      <name val="ＭＳ Ｐゴシック"/>
      <charset val="128"/>
    </font>
    <font>
      <sz val="11"/>
      <color rgb="FFFF0000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color theme="1"/>
      <name val="游ゴシック"/>
      <charset val="128"/>
      <scheme val="minor"/>
    </font>
    <font>
      <sz val="11"/>
      <name val="游ゴシック"/>
      <charset val="128"/>
    </font>
    <font>
      <b/>
      <sz val="9"/>
      <color theme="1"/>
      <name val="游ゴシック"/>
      <charset val="128"/>
      <scheme val="minor"/>
    </font>
    <font>
      <b/>
      <sz val="10"/>
      <color theme="1"/>
      <name val="游ゴシック"/>
      <charset val="128"/>
      <scheme val="minor"/>
    </font>
    <font>
      <b/>
      <sz val="6"/>
      <color theme="1"/>
      <name val="游ゴシック"/>
      <charset val="128"/>
      <scheme val="minor"/>
    </font>
    <font>
      <b/>
      <sz val="11"/>
      <name val="游ゴシック"/>
      <charset val="128"/>
      <scheme val="minor"/>
    </font>
    <font>
      <b/>
      <sz val="11"/>
      <color rgb="FFFF0000"/>
      <name val="游ゴシック"/>
      <charset val="128"/>
      <scheme val="minor"/>
    </font>
    <font>
      <sz val="11"/>
      <color theme="1"/>
      <name val="游ゴシック"/>
      <charset val="0"/>
      <scheme val="minor"/>
    </font>
    <font>
      <sz val="11"/>
      <color theme="0"/>
      <name val="游ゴシック"/>
      <charset val="0"/>
      <scheme val="minor"/>
    </font>
    <font>
      <sz val="11"/>
      <color rgb="FF9C6500"/>
      <name val="游ゴシック"/>
      <charset val="0"/>
      <scheme val="minor"/>
    </font>
    <font>
      <b/>
      <sz val="11"/>
      <color theme="3"/>
      <name val="游ゴシック"/>
      <charset val="134"/>
      <scheme val="minor"/>
    </font>
    <font>
      <sz val="11"/>
      <color theme="1"/>
      <name val="游ゴシック"/>
      <charset val="134"/>
      <scheme val="minor"/>
    </font>
    <font>
      <sz val="11"/>
      <color rgb="FF9C0006"/>
      <name val="游ゴシック"/>
      <charset val="0"/>
      <scheme val="minor"/>
    </font>
    <font>
      <sz val="11"/>
      <color rgb="FF006100"/>
      <name val="游ゴシック"/>
      <charset val="0"/>
      <scheme val="minor"/>
    </font>
    <font>
      <u/>
      <sz val="11"/>
      <color rgb="FF0000FF"/>
      <name val="游ゴシック"/>
      <charset val="0"/>
      <scheme val="minor"/>
    </font>
    <font>
      <sz val="11"/>
      <color rgb="FF3F3F76"/>
      <name val="游ゴシック"/>
      <charset val="0"/>
      <scheme val="minor"/>
    </font>
    <font>
      <b/>
      <sz val="11"/>
      <color theme="1"/>
      <name val="游ゴシック"/>
      <charset val="0"/>
      <scheme val="minor"/>
    </font>
    <font>
      <b/>
      <sz val="13"/>
      <color theme="3"/>
      <name val="游ゴシック"/>
      <charset val="134"/>
      <scheme val="minor"/>
    </font>
    <font>
      <i/>
      <sz val="11"/>
      <color rgb="FF7F7F7F"/>
      <name val="游ゴシック"/>
      <charset val="0"/>
      <scheme val="minor"/>
    </font>
    <font>
      <b/>
      <sz val="18"/>
      <color theme="3"/>
      <name val="游ゴシック"/>
      <charset val="134"/>
      <scheme val="minor"/>
    </font>
    <font>
      <sz val="11"/>
      <color rgb="FFFA7D00"/>
      <name val="游ゴシック"/>
      <charset val="0"/>
      <scheme val="minor"/>
    </font>
    <font>
      <b/>
      <sz val="11"/>
      <color rgb="FFFFFFFF"/>
      <name val="游ゴシック"/>
      <charset val="0"/>
      <scheme val="minor"/>
    </font>
    <font>
      <u/>
      <sz val="11"/>
      <color rgb="FF800080"/>
      <name val="游ゴシック"/>
      <charset val="0"/>
      <scheme val="minor"/>
    </font>
    <font>
      <b/>
      <sz val="11"/>
      <color rgb="FFFA7D00"/>
      <name val="游ゴシック"/>
      <charset val="0"/>
      <scheme val="minor"/>
    </font>
    <font>
      <b/>
      <sz val="15"/>
      <color theme="3"/>
      <name val="游ゴシック"/>
      <charset val="134"/>
      <scheme val="minor"/>
    </font>
    <font>
      <b/>
      <sz val="11"/>
      <color rgb="FF3F3F3F"/>
      <name val="游ゴシック"/>
      <charset val="0"/>
      <scheme val="minor"/>
    </font>
    <font>
      <sz val="11"/>
      <color rgb="FFFF0000"/>
      <name val="游ゴシック"/>
      <charset val="0"/>
      <scheme val="minor"/>
    </font>
    <font>
      <sz val="11"/>
      <color rgb="FFFF0000"/>
      <name val="游ゴシック"/>
      <charset val="128"/>
    </font>
    <font>
      <sz val="11"/>
      <color theme="1"/>
      <name val="游ゴシック"/>
      <charset val="128"/>
    </font>
  </fonts>
  <fills count="36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38" fontId="0" fillId="0" borderId="0" applyFont="0" applyFill="0" applyBorder="0" applyAlignment="0" applyProtection="0">
      <alignment vertical="center"/>
    </xf>
    <xf numFmtId="0" fontId="27" fillId="17" borderId="19" applyNumberFormat="0" applyAlignment="0" applyProtection="0">
      <alignment vertical="center"/>
    </xf>
    <xf numFmtId="176" fontId="23" fillId="0" borderId="0" applyFont="0" applyFill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179" fontId="23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9" borderId="17" applyNumberFormat="0" applyFon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7" fillId="35" borderId="24" applyNumberFormat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5" fillId="35" borderId="19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3" fillId="34" borderId="23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3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83" fontId="4" fillId="0" borderId="1" xfId="0" applyNumberFormat="1" applyFont="1" applyBorder="1" applyAlignment="1">
      <alignment horizontal="center" vertical="center" shrinkToFit="1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49">
      <alignment vertical="center"/>
    </xf>
    <xf numFmtId="0" fontId="6" fillId="0" borderId="0" xfId="49" applyFont="1">
      <alignment vertical="center"/>
    </xf>
    <xf numFmtId="0" fontId="5" fillId="0" borderId="0" xfId="49" applyAlignment="1">
      <alignment horizontal="right" vertical="top"/>
    </xf>
    <xf numFmtId="0" fontId="7" fillId="0" borderId="0" xfId="49" applyFont="1" applyAlignment="1">
      <alignment vertical="top" wrapText="1"/>
    </xf>
    <xf numFmtId="181" fontId="5" fillId="0" borderId="0" xfId="49" applyNumberFormat="1" applyAlignment="1">
      <alignment wrapText="1"/>
    </xf>
    <xf numFmtId="0" fontId="5" fillId="0" borderId="0" xfId="49" applyAlignment="1">
      <alignment vertical="top" wrapText="1"/>
    </xf>
    <xf numFmtId="0" fontId="8" fillId="0" borderId="0" xfId="49" applyFont="1">
      <alignment vertical="center"/>
    </xf>
    <xf numFmtId="0" fontId="9" fillId="0" borderId="0" xfId="49" applyFont="1">
      <alignment vertical="center"/>
    </xf>
    <xf numFmtId="0" fontId="5" fillId="0" borderId="0" xfId="49" applyFont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185" fontId="0" fillId="0" borderId="0" xfId="0" applyNumberFormat="1">
      <alignment vertical="center"/>
    </xf>
    <xf numFmtId="0" fontId="0" fillId="0" borderId="0" xfId="0" applyFill="1" applyAlignment="1">
      <alignment horizontal="center" vertical="center"/>
    </xf>
    <xf numFmtId="185" fontId="13" fillId="0" borderId="0" xfId="0" applyNumberFormat="1" applyFont="1">
      <alignment vertical="center"/>
    </xf>
    <xf numFmtId="0" fontId="11" fillId="0" borderId="0" xfId="0" applyFont="1">
      <alignment vertical="center"/>
    </xf>
    <xf numFmtId="185" fontId="11" fillId="0" borderId="0" xfId="0" applyNumberFormat="1" applyFont="1">
      <alignment vertical="center"/>
    </xf>
    <xf numFmtId="0" fontId="0" fillId="0" borderId="0" xfId="0" applyFill="1">
      <alignment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14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15" fillId="0" borderId="7" xfId="0" applyFont="1" applyBorder="1" applyAlignment="1">
      <alignment horizontal="center" vertical="center" wrapText="1"/>
    </xf>
    <xf numFmtId="0" fontId="0" fillId="0" borderId="8" xfId="0" applyFont="1" applyBorder="1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3" borderId="9" xfId="0" applyFill="1" applyBorder="1">
      <alignment vertical="center"/>
    </xf>
    <xf numFmtId="180" fontId="0" fillId="3" borderId="10" xfId="0" applyNumberFormat="1" applyFill="1" applyBorder="1">
      <alignment vertical="center"/>
    </xf>
    <xf numFmtId="0" fontId="0" fillId="3" borderId="9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11" fillId="3" borderId="9" xfId="0" applyNumberFormat="1" applyFont="1" applyFill="1" applyBorder="1">
      <alignment vertical="center"/>
    </xf>
    <xf numFmtId="0" fontId="11" fillId="3" borderId="0" xfId="0" applyNumberFormat="1" applyFont="1" applyFill="1" applyBorder="1">
      <alignment vertical="center"/>
    </xf>
    <xf numFmtId="184" fontId="11" fillId="3" borderId="0" xfId="0" applyNumberFormat="1" applyFont="1" applyFill="1" applyBorder="1">
      <alignment vertical="center"/>
    </xf>
    <xf numFmtId="0" fontId="0" fillId="0" borderId="9" xfId="0" applyBorder="1">
      <alignment vertical="center"/>
    </xf>
    <xf numFmtId="180" fontId="0" fillId="0" borderId="10" xfId="0" applyNumberFormat="1" applyBorder="1">
      <alignment vertical="center"/>
    </xf>
    <xf numFmtId="0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9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184" fontId="11" fillId="0" borderId="0" xfId="0" applyNumberFormat="1" applyFont="1" applyFill="1" applyBorder="1">
      <alignment vertical="center"/>
    </xf>
    <xf numFmtId="0" fontId="0" fillId="4" borderId="9" xfId="0" applyFill="1" applyBorder="1">
      <alignment vertical="center"/>
    </xf>
    <xf numFmtId="180" fontId="0" fillId="4" borderId="10" xfId="0" applyNumberFormat="1" applyFill="1" applyBorder="1">
      <alignment vertical="center"/>
    </xf>
    <xf numFmtId="0" fontId="0" fillId="4" borderId="9" xfId="0" applyNumberForma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1" fillId="4" borderId="9" xfId="0" applyNumberFormat="1" applyFont="1" applyFill="1" applyBorder="1">
      <alignment vertical="center"/>
    </xf>
    <xf numFmtId="0" fontId="11" fillId="4" borderId="0" xfId="0" applyNumberFormat="1" applyFont="1" applyFill="1" applyBorder="1">
      <alignment vertical="center"/>
    </xf>
    <xf numFmtId="184" fontId="11" fillId="4" borderId="0" xfId="0" applyNumberFormat="1" applyFont="1" applyFill="1" applyBorder="1">
      <alignment vertical="center"/>
    </xf>
    <xf numFmtId="0" fontId="0" fillId="5" borderId="9" xfId="0" applyFill="1" applyBorder="1">
      <alignment vertical="center"/>
    </xf>
    <xf numFmtId="180" fontId="0" fillId="5" borderId="10" xfId="0" applyNumberFormat="1" applyFill="1" applyBorder="1">
      <alignment vertical="center"/>
    </xf>
    <xf numFmtId="0" fontId="0" fillId="5" borderId="9" xfId="0" applyNumberForma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1" fillId="5" borderId="9" xfId="0" applyNumberFormat="1" applyFont="1" applyFill="1" applyBorder="1">
      <alignment vertical="center"/>
    </xf>
    <xf numFmtId="0" fontId="11" fillId="5" borderId="0" xfId="0" applyNumberFormat="1" applyFont="1" applyFill="1" applyBorder="1">
      <alignment vertical="center"/>
    </xf>
    <xf numFmtId="184" fontId="11" fillId="5" borderId="0" xfId="0" applyNumberFormat="1" applyFont="1" applyFill="1" applyBorder="1">
      <alignment vertical="center"/>
    </xf>
    <xf numFmtId="0" fontId="11" fillId="0" borderId="0" xfId="0" applyNumberFormat="1" applyFont="1" applyFill="1" applyBorder="1">
      <alignment vertical="center"/>
    </xf>
    <xf numFmtId="0" fontId="11" fillId="0" borderId="9" xfId="0" applyFont="1" applyBorder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0" fillId="5" borderId="0" xfId="0" applyFill="1" applyBorder="1">
      <alignment vertical="center"/>
    </xf>
    <xf numFmtId="0" fontId="0" fillId="0" borderId="0" xfId="0" applyBorder="1">
      <alignment vertical="center"/>
    </xf>
    <xf numFmtId="0" fontId="11" fillId="0" borderId="9" xfId="0" applyNumberFormat="1" applyFont="1" applyFill="1" applyBorder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2" fillId="0" borderId="12" xfId="0" applyFont="1" applyBorder="1">
      <alignment vertical="center"/>
    </xf>
    <xf numFmtId="182" fontId="0" fillId="0" borderId="7" xfId="0" applyNumberFormat="1" applyFont="1" applyBorder="1">
      <alignment vertical="center"/>
    </xf>
    <xf numFmtId="182" fontId="0" fillId="0" borderId="7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84" fontId="11" fillId="3" borderId="13" xfId="0" applyNumberFormat="1" applyFont="1" applyFill="1" applyBorder="1">
      <alignment vertical="center"/>
    </xf>
    <xf numFmtId="182" fontId="0" fillId="3" borderId="0" xfId="0" applyNumberFormat="1" applyFill="1" applyBorder="1">
      <alignment vertical="center"/>
    </xf>
    <xf numFmtId="38" fontId="0" fillId="3" borderId="9" xfId="1" applyFont="1" applyFill="1" applyBorder="1">
      <alignment vertical="center"/>
    </xf>
    <xf numFmtId="38" fontId="0" fillId="3" borderId="0" xfId="1" applyFont="1" applyFill="1" applyBorder="1">
      <alignment vertical="center"/>
    </xf>
    <xf numFmtId="184" fontId="11" fillId="0" borderId="13" xfId="0" applyNumberFormat="1" applyFont="1" applyFill="1" applyBorder="1">
      <alignment vertical="center"/>
    </xf>
    <xf numFmtId="182" fontId="0" fillId="0" borderId="0" xfId="0" applyNumberFormat="1" applyBorder="1">
      <alignment vertical="center"/>
    </xf>
    <xf numFmtId="38" fontId="0" fillId="0" borderId="9" xfId="1" applyFont="1" applyBorder="1">
      <alignment vertical="center"/>
    </xf>
    <xf numFmtId="38" fontId="0" fillId="0" borderId="0" xfId="1" applyFont="1" applyBorder="1">
      <alignment vertical="center"/>
    </xf>
    <xf numFmtId="184" fontId="11" fillId="4" borderId="13" xfId="0" applyNumberFormat="1" applyFont="1" applyFill="1" applyBorder="1">
      <alignment vertical="center"/>
    </xf>
    <xf numFmtId="182" fontId="0" fillId="4" borderId="0" xfId="0" applyNumberFormat="1" applyFill="1" applyBorder="1">
      <alignment vertical="center"/>
    </xf>
    <xf numFmtId="38" fontId="0" fillId="4" borderId="9" xfId="1" applyFont="1" applyFill="1" applyBorder="1">
      <alignment vertical="center"/>
    </xf>
    <xf numFmtId="38" fontId="0" fillId="4" borderId="0" xfId="1" applyFont="1" applyFill="1" applyBorder="1">
      <alignment vertical="center"/>
    </xf>
    <xf numFmtId="184" fontId="11" fillId="5" borderId="13" xfId="0" applyNumberFormat="1" applyFont="1" applyFill="1" applyBorder="1">
      <alignment vertical="center"/>
    </xf>
    <xf numFmtId="182" fontId="0" fillId="5" borderId="0" xfId="0" applyNumberFormat="1" applyFill="1" applyBorder="1">
      <alignment vertical="center"/>
    </xf>
    <xf numFmtId="38" fontId="0" fillId="5" borderId="9" xfId="1" applyFont="1" applyFill="1" applyBorder="1">
      <alignment vertical="center"/>
    </xf>
    <xf numFmtId="38" fontId="0" fillId="5" borderId="0" xfId="1" applyFont="1" applyFill="1" applyBorder="1">
      <alignment vertical="center"/>
    </xf>
    <xf numFmtId="182" fontId="0" fillId="0" borderId="0" xfId="0" applyNumberFormat="1" applyFill="1" applyBorder="1">
      <alignment vertical="center"/>
    </xf>
    <xf numFmtId="38" fontId="0" fillId="0" borderId="9" xfId="1" applyFont="1" applyFill="1" applyBorder="1">
      <alignment vertical="center"/>
    </xf>
    <xf numFmtId="38" fontId="0" fillId="0" borderId="0" xfId="1" applyFont="1" applyFill="1" applyBorder="1">
      <alignment vertical="center"/>
    </xf>
    <xf numFmtId="182" fontId="0" fillId="0" borderId="0" xfId="0" applyNumberFormat="1" applyFont="1" applyFill="1" applyBorder="1" applyAlignment="1">
      <alignment vertical="center"/>
    </xf>
    <xf numFmtId="178" fontId="11" fillId="0" borderId="13" xfId="0" applyNumberFormat="1" applyFont="1" applyFill="1" applyBorder="1">
      <alignment vertical="center"/>
    </xf>
    <xf numFmtId="0" fontId="12" fillId="0" borderId="12" xfId="0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8" fontId="0" fillId="3" borderId="13" xfId="1" applyFont="1" applyFill="1" applyBorder="1">
      <alignment vertical="center"/>
    </xf>
    <xf numFmtId="38" fontId="0" fillId="0" borderId="13" xfId="1" applyFont="1" applyBorder="1">
      <alignment vertical="center"/>
    </xf>
    <xf numFmtId="38" fontId="0" fillId="4" borderId="13" xfId="1" applyFont="1" applyFill="1" applyBorder="1">
      <alignment vertical="center"/>
    </xf>
    <xf numFmtId="38" fontId="0" fillId="5" borderId="13" xfId="1" applyFont="1" applyFill="1" applyBorder="1">
      <alignment vertical="center"/>
    </xf>
    <xf numFmtId="38" fontId="0" fillId="0" borderId="13" xfId="1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82" fontId="0" fillId="3" borderId="13" xfId="0" applyNumberFormat="1" applyFill="1" applyBorder="1">
      <alignment vertical="center"/>
    </xf>
    <xf numFmtId="182" fontId="0" fillId="3" borderId="10" xfId="0" applyNumberFormat="1" applyFill="1" applyBorder="1">
      <alignment vertical="center"/>
    </xf>
    <xf numFmtId="182" fontId="0" fillId="3" borderId="0" xfId="0" applyNumberFormat="1" applyFill="1">
      <alignment vertical="center"/>
    </xf>
    <xf numFmtId="182" fontId="0" fillId="0" borderId="13" xfId="0" applyNumberFormat="1" applyFill="1" applyBorder="1">
      <alignment vertical="center"/>
    </xf>
    <xf numFmtId="182" fontId="0" fillId="0" borderId="10" xfId="0" applyNumberFormat="1" applyFill="1" applyBorder="1">
      <alignment vertical="center"/>
    </xf>
    <xf numFmtId="182" fontId="0" fillId="0" borderId="0" xfId="0" applyNumberFormat="1">
      <alignment vertical="center"/>
    </xf>
    <xf numFmtId="182" fontId="17" fillId="3" borderId="10" xfId="0" applyNumberFormat="1" applyFont="1" applyFill="1" applyBorder="1" applyAlignment="1">
      <alignment vertical="center" wrapText="1"/>
    </xf>
    <xf numFmtId="182" fontId="11" fillId="3" borderId="13" xfId="0" applyNumberFormat="1" applyFont="1" applyFill="1" applyBorder="1" applyAlignment="1">
      <alignment vertical="center" wrapText="1"/>
    </xf>
    <xf numFmtId="182" fontId="10" fillId="3" borderId="10" xfId="0" applyNumberFormat="1" applyFont="1" applyFill="1" applyBorder="1">
      <alignment vertical="center"/>
    </xf>
    <xf numFmtId="182" fontId="11" fillId="4" borderId="13" xfId="0" applyNumberFormat="1" applyFont="1" applyFill="1" applyBorder="1">
      <alignment vertical="center"/>
    </xf>
    <xf numFmtId="182" fontId="10" fillId="4" borderId="10" xfId="0" applyNumberFormat="1" applyFont="1" applyFill="1" applyBorder="1">
      <alignment vertical="center"/>
    </xf>
    <xf numFmtId="182" fontId="0" fillId="4" borderId="0" xfId="0" applyNumberFormat="1" applyFill="1">
      <alignment vertical="center"/>
    </xf>
    <xf numFmtId="182" fontId="11" fillId="0" borderId="13" xfId="0" applyNumberFormat="1" applyFont="1" applyFill="1" applyBorder="1" applyAlignment="1">
      <alignment vertical="center" wrapText="1"/>
    </xf>
    <xf numFmtId="182" fontId="10" fillId="0" borderId="10" xfId="0" applyNumberFormat="1" applyFont="1" applyFill="1" applyBorder="1">
      <alignment vertical="center"/>
    </xf>
    <xf numFmtId="182" fontId="11" fillId="5" borderId="13" xfId="0" applyNumberFormat="1" applyFont="1" applyFill="1" applyBorder="1">
      <alignment vertical="center"/>
    </xf>
    <xf numFmtId="182" fontId="0" fillId="5" borderId="10" xfId="0" applyNumberFormat="1" applyFill="1" applyBorder="1">
      <alignment vertical="center"/>
    </xf>
    <xf numFmtId="182" fontId="0" fillId="5" borderId="0" xfId="0" applyNumberFormat="1" applyFill="1">
      <alignment vertical="center"/>
    </xf>
    <xf numFmtId="182" fontId="0" fillId="0" borderId="10" xfId="0" applyNumberFormat="1" applyFill="1" applyBorder="1" applyAlignment="1">
      <alignment vertical="center" wrapText="1"/>
    </xf>
    <xf numFmtId="182" fontId="0" fillId="3" borderId="13" xfId="0" applyNumberFormat="1" applyFill="1" applyBorder="1" applyAlignment="1">
      <alignment vertical="center" wrapText="1"/>
    </xf>
    <xf numFmtId="182" fontId="0" fillId="4" borderId="13" xfId="0" applyNumberFormat="1" applyFill="1" applyBorder="1">
      <alignment vertical="center"/>
    </xf>
    <xf numFmtId="182" fontId="10" fillId="0" borderId="10" xfId="0" applyNumberFormat="1" applyFont="1" applyFill="1" applyBorder="1" applyAlignment="1">
      <alignment vertical="center" wrapText="1"/>
    </xf>
    <xf numFmtId="182" fontId="10" fillId="3" borderId="10" xfId="0" applyNumberFormat="1" applyFont="1" applyFill="1" applyBorder="1" applyAlignment="1">
      <alignment vertical="center" wrapText="1"/>
    </xf>
    <xf numFmtId="182" fontId="17" fillId="5" borderId="10" xfId="0" applyNumberFormat="1" applyFont="1" applyFill="1" applyBorder="1" applyAlignment="1">
      <alignment vertical="center" wrapText="1"/>
    </xf>
    <xf numFmtId="182" fontId="11" fillId="5" borderId="13" xfId="0" applyNumberFormat="1" applyFont="1" applyFill="1" applyBorder="1" applyAlignment="1">
      <alignment vertical="center" wrapText="1"/>
    </xf>
    <xf numFmtId="182" fontId="10" fillId="5" borderId="10" xfId="0" applyNumberFormat="1" applyFont="1" applyFill="1" applyBorder="1">
      <alignment vertical="center"/>
    </xf>
    <xf numFmtId="182" fontId="18" fillId="5" borderId="13" xfId="0" applyNumberFormat="1" applyFont="1" applyFill="1" applyBorder="1" applyAlignment="1">
      <alignment vertical="center" wrapText="1"/>
    </xf>
    <xf numFmtId="182" fontId="18" fillId="3" borderId="13" xfId="0" applyNumberFormat="1" applyFont="1" applyFill="1" applyBorder="1" applyAlignment="1">
      <alignment vertical="center" wrapText="1"/>
    </xf>
    <xf numFmtId="182" fontId="0" fillId="0" borderId="13" xfId="0" applyNumberFormat="1" applyFont="1" applyFill="1" applyBorder="1" applyAlignment="1">
      <alignment vertical="center" wrapText="1"/>
    </xf>
    <xf numFmtId="182" fontId="0" fillId="0" borderId="13" xfId="0" applyNumberFormat="1" applyFill="1" applyBorder="1" applyAlignment="1">
      <alignment vertical="center" wrapText="1"/>
    </xf>
    <xf numFmtId="182" fontId="17" fillId="0" borderId="10" xfId="0" applyNumberFormat="1" applyFont="1" applyFill="1" applyBorder="1" applyAlignment="1">
      <alignment vertical="center" wrapText="1"/>
    </xf>
    <xf numFmtId="182" fontId="0" fillId="0" borderId="10" xfId="0" applyNumberFormat="1" applyFont="1" applyFill="1" applyBorder="1" applyAlignment="1">
      <alignment vertical="center"/>
    </xf>
    <xf numFmtId="182" fontId="10" fillId="0" borderId="0" xfId="0" applyNumberFormat="1" applyFont="1">
      <alignment vertical="center"/>
    </xf>
    <xf numFmtId="182" fontId="11" fillId="0" borderId="13" xfId="0" applyNumberFormat="1" applyFont="1" applyFill="1" applyBorder="1" applyAlignment="1">
      <alignment vertical="center"/>
    </xf>
    <xf numFmtId="182" fontId="11" fillId="0" borderId="0" xfId="0" applyNumberFormat="1" applyFont="1">
      <alignment vertical="center"/>
    </xf>
    <xf numFmtId="182" fontId="11" fillId="5" borderId="13" xfId="0" applyNumberFormat="1" applyFont="1" applyFill="1" applyBorder="1" applyAlignment="1">
      <alignment vertical="center"/>
    </xf>
    <xf numFmtId="182" fontId="11" fillId="3" borderId="13" xfId="0" applyNumberFormat="1" applyFont="1" applyFill="1" applyBorder="1" applyAlignment="1">
      <alignment vertical="center"/>
    </xf>
    <xf numFmtId="0" fontId="0" fillId="5" borderId="10" xfId="0" applyFill="1" applyBorder="1">
      <alignment vertical="center"/>
    </xf>
    <xf numFmtId="0" fontId="0" fillId="0" borderId="10" xfId="0" applyFill="1" applyBorder="1">
      <alignment vertical="center"/>
    </xf>
    <xf numFmtId="0" fontId="0" fillId="3" borderId="10" xfId="0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5" borderId="10" xfId="0" applyFont="1" applyFill="1" applyBorder="1" applyAlignment="1">
      <alignment vertical="center" wrapText="1"/>
    </xf>
    <xf numFmtId="0" fontId="18" fillId="3" borderId="10" xfId="0" applyFont="1" applyFill="1" applyBorder="1">
      <alignment vertical="center"/>
    </xf>
    <xf numFmtId="182" fontId="17" fillId="0" borderId="13" xfId="0" applyNumberFormat="1" applyFont="1" applyFill="1" applyBorder="1" applyAlignment="1">
      <alignment vertical="center" wrapText="1"/>
    </xf>
    <xf numFmtId="0" fontId="0" fillId="0" borderId="10" xfId="0" applyBorder="1">
      <alignment vertical="center"/>
    </xf>
    <xf numFmtId="182" fontId="17" fillId="5" borderId="13" xfId="0" applyNumberFormat="1" applyFont="1" applyFill="1" applyBorder="1" applyAlignment="1">
      <alignment vertical="center" wrapText="1"/>
    </xf>
    <xf numFmtId="0" fontId="10" fillId="5" borderId="10" xfId="0" applyNumberFormat="1" applyFont="1" applyFill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7" fillId="0" borderId="13" xfId="0" applyFont="1" applyBorder="1" applyAlignment="1">
      <alignment vertical="center" wrapText="1"/>
    </xf>
    <xf numFmtId="0" fontId="18" fillId="3" borderId="13" xfId="0" applyFont="1" applyFill="1" applyBorder="1" applyAlignment="1">
      <alignment vertical="center" wrapText="1"/>
    </xf>
    <xf numFmtId="0" fontId="17" fillId="3" borderId="13" xfId="0" applyFont="1" applyFill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0" fillId="5" borderId="13" xfId="0" applyFill="1" applyBorder="1">
      <alignment vertical="center"/>
    </xf>
    <xf numFmtId="0" fontId="0" fillId="0" borderId="13" xfId="0" applyBorder="1">
      <alignment vertical="center"/>
    </xf>
    <xf numFmtId="0" fontId="0" fillId="3" borderId="13" xfId="0" applyFill="1" applyBorder="1">
      <alignment vertical="center"/>
    </xf>
    <xf numFmtId="0" fontId="11" fillId="3" borderId="13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8" fillId="5" borderId="13" xfId="0" applyFont="1" applyFill="1" applyBorder="1" applyAlignment="1">
      <alignment vertical="center" wrapText="1"/>
    </xf>
    <xf numFmtId="180" fontId="11" fillId="0" borderId="10" xfId="0" applyNumberFormat="1" applyFont="1" applyBorder="1" applyAlignment="1">
      <alignment horizontal="right" vertical="center"/>
    </xf>
    <xf numFmtId="180" fontId="11" fillId="0" borderId="9" xfId="0" applyNumberFormat="1" applyFont="1" applyBorder="1" applyAlignment="1">
      <alignment horizontal="right" vertical="center"/>
    </xf>
    <xf numFmtId="0" fontId="11" fillId="0" borderId="9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180" fontId="0" fillId="0" borderId="9" xfId="0" applyNumberFormat="1" applyBorder="1">
      <alignment vertical="center"/>
    </xf>
    <xf numFmtId="180" fontId="0" fillId="0" borderId="5" xfId="0" applyNumberFormat="1" applyBorder="1">
      <alignment vertical="center"/>
    </xf>
    <xf numFmtId="180" fontId="0" fillId="0" borderId="15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0" fontId="11" fillId="0" borderId="15" xfId="0" applyNumberFormat="1" applyFont="1" applyBorder="1">
      <alignment vertical="center"/>
    </xf>
    <xf numFmtId="0" fontId="11" fillId="0" borderId="16" xfId="0" applyNumberFormat="1" applyFont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5" xfId="0" applyFont="1" applyBorder="1">
      <alignment vertical="center"/>
    </xf>
    <xf numFmtId="0" fontId="12" fillId="0" borderId="16" xfId="0" applyFont="1" applyBorder="1">
      <alignment vertical="center"/>
    </xf>
    <xf numFmtId="9" fontId="12" fillId="0" borderId="8" xfId="0" applyNumberFormat="1" applyFont="1" applyBorder="1">
      <alignment vertical="center"/>
    </xf>
    <xf numFmtId="9" fontId="12" fillId="0" borderId="12" xfId="0" applyNumberFormat="1" applyFont="1" applyBorder="1">
      <alignment vertical="center"/>
    </xf>
    <xf numFmtId="186" fontId="12" fillId="0" borderId="6" xfId="0" applyNumberFormat="1" applyFont="1" applyBorder="1">
      <alignment vertical="center"/>
    </xf>
    <xf numFmtId="186" fontId="12" fillId="0" borderId="7" xfId="0" applyNumberFormat="1" applyFont="1" applyBorder="1">
      <alignment vertical="center"/>
    </xf>
    <xf numFmtId="9" fontId="12" fillId="0" borderId="0" xfId="0" applyNumberFormat="1" applyFont="1" applyBorder="1">
      <alignment vertical="center"/>
    </xf>
    <xf numFmtId="0" fontId="11" fillId="0" borderId="13" xfId="0" applyNumberFormat="1" applyFont="1" applyBorder="1">
      <alignment vertical="center"/>
    </xf>
    <xf numFmtId="0" fontId="11" fillId="0" borderId="14" xfId="0" applyNumberFormat="1" applyFont="1" applyBorder="1">
      <alignment vertical="center"/>
    </xf>
    <xf numFmtId="0" fontId="12" fillId="0" borderId="11" xfId="0" applyFont="1" applyBorder="1">
      <alignment vertical="center"/>
    </xf>
    <xf numFmtId="182" fontId="0" fillId="0" borderId="6" xfId="0" applyNumberFormat="1" applyFill="1" applyBorder="1">
      <alignment vertical="center"/>
    </xf>
    <xf numFmtId="182" fontId="0" fillId="0" borderId="7" xfId="0" applyNumberFormat="1" applyFill="1" applyBorder="1">
      <alignment vertical="center"/>
    </xf>
    <xf numFmtId="182" fontId="0" fillId="0" borderId="12" xfId="0" applyNumberFormat="1" applyFill="1" applyBorder="1">
      <alignment vertical="center"/>
    </xf>
    <xf numFmtId="0" fontId="12" fillId="0" borderId="8" xfId="0" applyFont="1" applyBorder="1" applyAlignment="1">
      <alignment horizontal="center" vertical="center"/>
    </xf>
    <xf numFmtId="38" fontId="17" fillId="0" borderId="6" xfId="1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4" xfId="0" applyFont="1" applyBorder="1">
      <alignment vertical="center"/>
    </xf>
    <xf numFmtId="9" fontId="12" fillId="0" borderId="6" xfId="9" applyFont="1" applyBorder="1">
      <alignment vertical="center"/>
    </xf>
    <xf numFmtId="9" fontId="12" fillId="0" borderId="7" xfId="9" applyFont="1" applyBorder="1">
      <alignment vertical="center"/>
    </xf>
    <xf numFmtId="9" fontId="12" fillId="0" borderId="12" xfId="9" applyFont="1" applyBorder="1">
      <alignment vertical="center"/>
    </xf>
    <xf numFmtId="187" fontId="12" fillId="0" borderId="6" xfId="9" applyNumberFormat="1" applyFont="1" applyBorder="1">
      <alignment vertical="center"/>
    </xf>
    <xf numFmtId="186" fontId="12" fillId="0" borderId="12" xfId="0" applyNumberFormat="1" applyFont="1" applyBorder="1">
      <alignment vertical="center"/>
    </xf>
    <xf numFmtId="9" fontId="12" fillId="0" borderId="0" xfId="0" applyNumberFormat="1" applyFont="1">
      <alignment vertical="center"/>
    </xf>
    <xf numFmtId="38" fontId="0" fillId="0" borderId="0" xfId="0" applyNumberFormat="1" applyBorder="1">
      <alignment vertical="center"/>
    </xf>
    <xf numFmtId="38" fontId="17" fillId="0" borderId="7" xfId="1" applyFont="1" applyFill="1" applyBorder="1">
      <alignment vertical="center"/>
    </xf>
    <xf numFmtId="0" fontId="17" fillId="0" borderId="7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12" xfId="0" applyNumberFormat="1" applyBorder="1">
      <alignment vertical="center"/>
    </xf>
    <xf numFmtId="187" fontId="12" fillId="0" borderId="8" xfId="9" applyNumberFormat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4" xfId="0" applyBorder="1">
      <alignment vertical="center"/>
    </xf>
    <xf numFmtId="0" fontId="0" fillId="0" borderId="5" xfId="0" applyBorder="1">
      <alignment vertical="center"/>
    </xf>
  </cellXfs>
  <cellStyles count="50">
    <cellStyle name="標準" xfId="0" builtinId="0"/>
    <cellStyle name="桁区切り[0]" xfId="1" builtinId="6"/>
    <cellStyle name="入力" xfId="2" builtinId="20"/>
    <cellStyle name="桁区切り" xfId="3" builtinId="3"/>
    <cellStyle name="通貨[0]" xfId="4" builtinId="7"/>
    <cellStyle name="40% - アクセント 5" xfId="5" builtinId="47"/>
    <cellStyle name="通貨" xfId="6" builtinId="4"/>
    <cellStyle name="20% - アクセント 4" xfId="7" builtinId="42"/>
    <cellStyle name="メモ" xfId="8" builtinId="10"/>
    <cellStyle name="パーセント" xfId="9" builtinId="5"/>
    <cellStyle name="ハイパーリンク" xfId="10" builtinId="8"/>
    <cellStyle name="アクセント 2" xfId="11" builtinId="33"/>
    <cellStyle name="訪問済ハイパーリンク" xfId="12" builtinId="9"/>
    <cellStyle name="良い" xfId="13" builtinId="26"/>
    <cellStyle name="警告文" xfId="14" builtinId="11"/>
    <cellStyle name="リンクセル" xfId="15" builtinId="24"/>
    <cellStyle name="タイトル" xfId="16" builtinId="15"/>
    <cellStyle name="説明文" xfId="17" builtinId="53"/>
    <cellStyle name="アクセント 6" xfId="18" builtinId="49"/>
    <cellStyle name="出力" xfId="19" builtinId="21"/>
    <cellStyle name="見出し 1" xfId="20" builtinId="16"/>
    <cellStyle name="見出し 2" xfId="21" builtinId="17"/>
    <cellStyle name="計算" xfId="22" builtinId="22"/>
    <cellStyle name="見出し 3" xfId="23" builtinId="18"/>
    <cellStyle name="見出し 4" xfId="24" builtinId="19"/>
    <cellStyle name="60% - アクセント 5" xfId="25" builtinId="48"/>
    <cellStyle name="チェックセル" xfId="26" builtinId="23"/>
    <cellStyle name="40% - アクセント 1" xfId="27" builtinId="31"/>
    <cellStyle name="集計" xfId="28" builtinId="25"/>
    <cellStyle name="悪い" xfId="29" builtinId="27"/>
    <cellStyle name="どちらでもない" xfId="30" builtinId="28"/>
    <cellStyle name="アクセント 1" xfId="31" builtinId="29"/>
    <cellStyle name="20% - アクセント 1" xfId="32" builtinId="30"/>
    <cellStyle name="20% - アクセント 5" xfId="33" builtinId="46"/>
    <cellStyle name="60% - アクセント 1" xfId="34" builtinId="32"/>
    <cellStyle name="20% - アクセント 2" xfId="35" builtinId="34"/>
    <cellStyle name="40% - アクセント 2" xfId="36" builtinId="35"/>
    <cellStyle name="20% - アクセント 6" xfId="37" builtinId="50"/>
    <cellStyle name="60% - アクセント 2" xfId="38" builtinId="36"/>
    <cellStyle name="アクセント 3" xfId="39" builtinId="37"/>
    <cellStyle name="20% - アクセント 3" xfId="40" builtinId="38"/>
    <cellStyle name="40% - アクセント 3" xfId="41" builtinId="39"/>
    <cellStyle name="60% - アクセント 3" xfId="42" builtinId="40"/>
    <cellStyle name="アクセント 4" xfId="43" builtinId="41"/>
    <cellStyle name="40% - アクセント 4" xfId="44" builtinId="43"/>
    <cellStyle name="60% - アクセント 4" xfId="45" builtinId="44"/>
    <cellStyle name="アクセント 5" xfId="46" builtinId="45"/>
    <cellStyle name="40% - アクセント 6" xfId="47" builtinId="51"/>
    <cellStyle name="60% - アクセント 6" xfId="48" builtinId="52"/>
    <cellStyle name="標準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ja-JP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>
        <c:manualLayout>
          <c:layoutTarget val="inner"/>
          <c:xMode val="edge"/>
          <c:yMode val="edge"/>
          <c:x val="0.0889592334345724"/>
          <c:y val="0.127460727778882"/>
          <c:w val="0.899234290114215"/>
          <c:h val="0.790296281566912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検証シート!$B$20:$B$130</c:f>
              <c:numCache>
                <c:formatCode>yyyy/m/d;@</c:formatCode>
                <c:ptCount val="111"/>
                <c:pt idx="0" c:formatCode="yyyy/m/d;@">
                  <c:v>43906</c:v>
                </c:pt>
                <c:pt idx="1" c:formatCode="yyyy/m/d;@">
                  <c:v>43908</c:v>
                </c:pt>
                <c:pt idx="2" c:formatCode="yyyy/m/d;@">
                  <c:v>43910</c:v>
                </c:pt>
                <c:pt idx="3" c:formatCode="yyyy/m/d;@">
                  <c:v>43913</c:v>
                </c:pt>
                <c:pt idx="4" c:formatCode="yyyy/m/d;@">
                  <c:v>43913</c:v>
                </c:pt>
                <c:pt idx="5" c:formatCode="yyyy/m/d;@">
                  <c:v>43913</c:v>
                </c:pt>
                <c:pt idx="6" c:formatCode="yyyy/m/d;@">
                  <c:v>43914</c:v>
                </c:pt>
                <c:pt idx="7" c:formatCode="yyyy/m/d;@">
                  <c:v>43914</c:v>
                </c:pt>
                <c:pt idx="8" c:formatCode="yyyy/m/d;@">
                  <c:v>43917</c:v>
                </c:pt>
                <c:pt idx="9" c:formatCode="yyyy/m/d;@">
                  <c:v>43917</c:v>
                </c:pt>
                <c:pt idx="10" c:formatCode="yyyy/m/d;@">
                  <c:v>43917</c:v>
                </c:pt>
                <c:pt idx="11" c:formatCode="yyyy/m/d;@">
                  <c:v>43920</c:v>
                </c:pt>
                <c:pt idx="12" c:formatCode="yyyy/m/d;@">
                  <c:v>43921</c:v>
                </c:pt>
                <c:pt idx="13" c:formatCode="yyyy/m/d;@">
                  <c:v>43922</c:v>
                </c:pt>
                <c:pt idx="14" c:formatCode="yyyy/m/d;@">
                  <c:v>43922</c:v>
                </c:pt>
                <c:pt idx="15" c:formatCode="yyyy/m/d;@">
                  <c:v>43923</c:v>
                </c:pt>
                <c:pt idx="16" c:formatCode="yyyy/m/d;@">
                  <c:v>43924</c:v>
                </c:pt>
                <c:pt idx="17" c:formatCode="yyyy/m/d;@">
                  <c:v>43927</c:v>
                </c:pt>
                <c:pt idx="18" c:formatCode="yyyy/m/d;@">
                  <c:v>43927</c:v>
                </c:pt>
                <c:pt idx="19" c:formatCode="yyyy/m/d;@">
                  <c:v>43928</c:v>
                </c:pt>
                <c:pt idx="20" c:formatCode="yyyy/m/d;@">
                  <c:v>43929</c:v>
                </c:pt>
                <c:pt idx="21" c:formatCode="yyyy/m/d;@">
                  <c:v>43930</c:v>
                </c:pt>
                <c:pt idx="22" c:formatCode="yyyy/m/d;@">
                  <c:v>43934</c:v>
                </c:pt>
                <c:pt idx="23" c:formatCode="yyyy/m/d;@">
                  <c:v>43934</c:v>
                </c:pt>
                <c:pt idx="24" c:formatCode="yyyy/m/d;@">
                  <c:v>43934</c:v>
                </c:pt>
                <c:pt idx="25" c:formatCode="yyyy/m/d;@">
                  <c:v>43938</c:v>
                </c:pt>
                <c:pt idx="26" c:formatCode="yyyy/m/d;@">
                  <c:v>43938</c:v>
                </c:pt>
                <c:pt idx="27" c:formatCode="yyyy/m/d;@">
                  <c:v>43941</c:v>
                </c:pt>
                <c:pt idx="28" c:formatCode="yyyy/m/d;@">
                  <c:v>43941</c:v>
                </c:pt>
                <c:pt idx="29" c:formatCode="yyyy/m/d;@">
                  <c:v>43941</c:v>
                </c:pt>
                <c:pt idx="30" c:formatCode="yyyy/m/d;@">
                  <c:v>43941</c:v>
                </c:pt>
                <c:pt idx="31" c:formatCode="yyyy/m/d;@">
                  <c:v>43942</c:v>
                </c:pt>
                <c:pt idx="32" c:formatCode="yyyy/m/d;@">
                  <c:v>43942</c:v>
                </c:pt>
                <c:pt idx="33" c:formatCode="yyyy/m/d;@">
                  <c:v>43943</c:v>
                </c:pt>
                <c:pt idx="34" c:formatCode="yyyy/m/d;@">
                  <c:v>43943</c:v>
                </c:pt>
                <c:pt idx="35" c:formatCode="yyyy/m/d;@">
                  <c:v>43943</c:v>
                </c:pt>
                <c:pt idx="36" c:formatCode="yyyy/m/d;@">
                  <c:v>43944</c:v>
                </c:pt>
                <c:pt idx="37" c:formatCode="yyyy/m/d;@">
                  <c:v>43945</c:v>
                </c:pt>
                <c:pt idx="38" c:formatCode="yyyy/m/d;@">
                  <c:v>43945</c:v>
                </c:pt>
                <c:pt idx="39" c:formatCode="yyyy/m/d;@">
                  <c:v>43948</c:v>
                </c:pt>
                <c:pt idx="40" c:formatCode="yyyy/m/d;@">
                  <c:v>43949</c:v>
                </c:pt>
                <c:pt idx="41" c:formatCode="yyyy/m/d;@">
                  <c:v>43949</c:v>
                </c:pt>
                <c:pt idx="42" c:formatCode="yyyy/m/d;@">
                  <c:v>43951</c:v>
                </c:pt>
                <c:pt idx="43" c:formatCode="yyyy/m/d;@">
                  <c:v>43951</c:v>
                </c:pt>
                <c:pt idx="44" c:formatCode="yyyy/m/d;@">
                  <c:v>43952</c:v>
                </c:pt>
                <c:pt idx="45" c:formatCode="yyyy/m/d;@">
                  <c:v>43957</c:v>
                </c:pt>
                <c:pt idx="46" c:formatCode="yyyy/m/d;@">
                  <c:v>43958</c:v>
                </c:pt>
                <c:pt idx="47" c:formatCode="yyyy/m/d;@">
                  <c:v>43959</c:v>
                </c:pt>
                <c:pt idx="48" c:formatCode="yyyy/m/d;@">
                  <c:v>43962</c:v>
                </c:pt>
                <c:pt idx="49" c:formatCode="yyyy/m/d;@">
                  <c:v>43966</c:v>
                </c:pt>
                <c:pt idx="50" c:formatCode="yyyy/m/d;@">
                  <c:v>43969</c:v>
                </c:pt>
                <c:pt idx="51" c:formatCode="yyyy/m/d;@">
                  <c:v>43971</c:v>
                </c:pt>
                <c:pt idx="52" c:formatCode="yyyy/m/d;@">
                  <c:v>43972</c:v>
                </c:pt>
                <c:pt idx="53" c:formatCode="yyyy/m/d;@">
                  <c:v>43976</c:v>
                </c:pt>
                <c:pt idx="54" c:formatCode="yyyy/m/d;@">
                  <c:v>43977</c:v>
                </c:pt>
                <c:pt idx="55" c:formatCode="yyyy/m/d;@">
                  <c:v>43978</c:v>
                </c:pt>
                <c:pt idx="56" c:formatCode="yyyy/m/d;@">
                  <c:v>43978</c:v>
                </c:pt>
                <c:pt idx="57" c:formatCode="yyyy/m/d;@">
                  <c:v>43983</c:v>
                </c:pt>
                <c:pt idx="58" c:formatCode="yyyy/m/d;@">
                  <c:v>43986</c:v>
                </c:pt>
                <c:pt idx="59" c:formatCode="yyyy/m/d;@">
                  <c:v>43987</c:v>
                </c:pt>
                <c:pt idx="60" c:formatCode="yyyy/m/d;@">
                  <c:v>43990</c:v>
                </c:pt>
                <c:pt idx="61" c:formatCode="yyyy/m/d;@">
                  <c:v>43990</c:v>
                </c:pt>
                <c:pt idx="62" c:formatCode="yyyy/m/d;@">
                  <c:v>43993</c:v>
                </c:pt>
                <c:pt idx="63" c:formatCode="yyyy/m/d;@">
                  <c:v>43997</c:v>
                </c:pt>
                <c:pt idx="64" c:formatCode="yyyy/m/d;@">
                  <c:v>44000</c:v>
                </c:pt>
                <c:pt idx="65" c:formatCode="yyyy/m/d;@">
                  <c:v>44004</c:v>
                </c:pt>
                <c:pt idx="66" c:formatCode="yyyy/m/d;@">
                  <c:v>44004</c:v>
                </c:pt>
                <c:pt idx="67" c:formatCode="yyyy/m/d;@">
                  <c:v>44006</c:v>
                </c:pt>
                <c:pt idx="68" c:formatCode="yyyy/m/d;@">
                  <c:v>44008</c:v>
                </c:pt>
                <c:pt idx="69" c:formatCode="yyyy/m/d;@">
                  <c:v>44008</c:v>
                </c:pt>
                <c:pt idx="70" c:formatCode="yyyy/m/d;@">
                  <c:v>44012</c:v>
                </c:pt>
                <c:pt idx="71" c:formatCode="yyyy/m/d;@">
                  <c:v>44013</c:v>
                </c:pt>
                <c:pt idx="72" c:formatCode="yyyy/m/d;@">
                  <c:v>44014</c:v>
                </c:pt>
                <c:pt idx="73" c:formatCode="yyyy/m/d;@">
                  <c:v>44019</c:v>
                </c:pt>
                <c:pt idx="74" c:formatCode="yyyy/m/d;@">
                  <c:v>44020</c:v>
                </c:pt>
                <c:pt idx="75" c:formatCode="yyyy/m/d;@">
                  <c:v>44021</c:v>
                </c:pt>
                <c:pt idx="76" c:formatCode="yyyy/m/d;@">
                  <c:v>44022</c:v>
                </c:pt>
                <c:pt idx="77" c:formatCode="yyyy/m/d;@">
                  <c:v>44026</c:v>
                </c:pt>
                <c:pt idx="78" c:formatCode="yyyy/m/d;@">
                  <c:v>44028</c:v>
                </c:pt>
                <c:pt idx="79" c:formatCode="yyyy/m/d;@">
                  <c:v>44028</c:v>
                </c:pt>
                <c:pt idx="80" c:formatCode="yyyy/m/d;@">
                  <c:v>44032</c:v>
                </c:pt>
                <c:pt idx="81" c:formatCode="yyyy/m/d;@">
                  <c:v>44032</c:v>
                </c:pt>
                <c:pt idx="82" c:formatCode="yyyy/m/d;@">
                  <c:v>44033</c:v>
                </c:pt>
                <c:pt idx="83" c:formatCode="yyyy/m/d;@">
                  <c:v>44033</c:v>
                </c:pt>
                <c:pt idx="84" c:formatCode="yyyy/m/d;@">
                  <c:v>44035</c:v>
                </c:pt>
                <c:pt idx="85" c:formatCode="yyyy/m/d;@">
                  <c:v>44035</c:v>
                </c:pt>
                <c:pt idx="86" c:formatCode="yyyy/m/d;@">
                  <c:v>44036</c:v>
                </c:pt>
                <c:pt idx="87" c:formatCode="yyyy/m/d;@">
                  <c:v>44040</c:v>
                </c:pt>
                <c:pt idx="88" c:formatCode="yyyy/m/d;@">
                  <c:v>44041</c:v>
                </c:pt>
                <c:pt idx="89" c:formatCode="yyyy/m/d;@">
                  <c:v>44042</c:v>
                </c:pt>
                <c:pt idx="90" c:formatCode="yyyy/m/d;@">
                  <c:v>44046</c:v>
                </c:pt>
                <c:pt idx="91" c:formatCode="yyyy/m/d;@">
                  <c:v>44047</c:v>
                </c:pt>
                <c:pt idx="92" c:formatCode="yyyy/m/d;@">
                  <c:v>44047</c:v>
                </c:pt>
                <c:pt idx="93" c:formatCode="yyyy/m/d;@">
                  <c:v>44049</c:v>
                </c:pt>
                <c:pt idx="94" c:formatCode="yyyy/m/d;@">
                  <c:v>44049</c:v>
                </c:pt>
                <c:pt idx="95" c:formatCode="yyyy/m/d;@">
                  <c:v>44050</c:v>
                </c:pt>
                <c:pt idx="96" c:formatCode="yyyy/m/d;@">
                  <c:v>44053</c:v>
                </c:pt>
                <c:pt idx="97" c:formatCode="yyyy/m/d;@">
                  <c:v>44054</c:v>
                </c:pt>
                <c:pt idx="98" c:formatCode="yyyy/m/d;@">
                  <c:v>44054</c:v>
                </c:pt>
                <c:pt idx="99" c:formatCode="yyyy/m/d;@">
                  <c:v>44055</c:v>
                </c:pt>
                <c:pt idx="100" c:formatCode="yyyy/m/d;@">
                  <c:v>44055</c:v>
                </c:pt>
                <c:pt idx="101" c:formatCode="yyyy/m/d;@">
                  <c:v>44057</c:v>
                </c:pt>
                <c:pt idx="102" c:formatCode="yyyy/m/d;@">
                  <c:v>44057</c:v>
                </c:pt>
                <c:pt idx="103" c:formatCode="yyyy/m/d;@">
                  <c:v>44063</c:v>
                </c:pt>
                <c:pt idx="104" c:formatCode="yyyy/m/d;@">
                  <c:v>44067</c:v>
                </c:pt>
                <c:pt idx="105" c:formatCode="yyyy/m/d;@">
                  <c:v>44068</c:v>
                </c:pt>
                <c:pt idx="106" c:formatCode="yyyy/m/d;@">
                  <c:v>44069</c:v>
                </c:pt>
                <c:pt idx="107" c:formatCode="yyyy/m/d;@">
                  <c:v>44070</c:v>
                </c:pt>
                <c:pt idx="108" c:formatCode="yyyy/m/d;@">
                  <c:v>44070</c:v>
                </c:pt>
                <c:pt idx="109" c:formatCode="yyyy/m/d;@">
                  <c:v>44077</c:v>
                </c:pt>
                <c:pt idx="110" c:formatCode="yyyy/m/d;@">
                  <c:v>44078</c:v>
                </c:pt>
              </c:numCache>
            </c:numRef>
          </c:cat>
          <c:val>
            <c:numRef>
              <c:f>検証シート!$N$20:$N$130</c:f>
              <c:numCache>
                <c:formatCode>#,##0_);[Red]\(#,##0\)</c:formatCode>
                <c:ptCount val="111"/>
                <c:pt idx="0" c:formatCode="#,##0_);[Red]\(#,##0\)">
                  <c:v>125285.714285715</c:v>
                </c:pt>
                <c:pt idx="1" c:formatCode="#,##0_);[Red]\(#,##0\)">
                  <c:v>151595.714285716</c:v>
                </c:pt>
                <c:pt idx="2" c:formatCode="#,##0_);[Red]\(#,##0\)">
                  <c:v>151595.714285716</c:v>
                </c:pt>
                <c:pt idx="3" c:formatCode="#,##0_);[Red]\(#,##0\)">
                  <c:v>170924.167857144</c:v>
                </c:pt>
                <c:pt idx="4" c:formatCode="#,##0_);[Red]\(#,##0\)">
                  <c:v>165796.44282143</c:v>
                </c:pt>
                <c:pt idx="5" c:formatCode="#,##0_);[Red]\(#,##0\)">
                  <c:v>160822.549536787</c:v>
                </c:pt>
                <c:pt idx="7" c:formatCode="#,##0_);[Red]\(#,##0\)">
                  <c:v>194128.380763439</c:v>
                </c:pt>
                <c:pt idx="8" c:formatCode="#,##0_);[Red]\(#,##0\)">
                  <c:v>188304.529340536</c:v>
                </c:pt>
                <c:pt idx="9" c:formatCode="#,##0_);[Red]\(#,##0\)">
                  <c:v>191129.097280644</c:v>
                </c:pt>
                <c:pt idx="10" c:formatCode="#,##0_);[Red]\(#,##0\)">
                  <c:v>230030.284571685</c:v>
                </c:pt>
                <c:pt idx="11" c:formatCode="#,##0_);[Red]\(#,##0\)">
                  <c:v>223129.376034534</c:v>
                </c:pt>
                <c:pt idx="13" c:formatCode="#,##0_);[Red]\(#,##0\)">
                  <c:v>256598.782439715</c:v>
                </c:pt>
                <c:pt idx="14" c:formatCode="#,##0_);[Red]\(#,##0\)">
                  <c:v>256598.782439715</c:v>
                </c:pt>
                <c:pt idx="15" c:formatCode="#,##0_);[Red]\(#,##0\)">
                  <c:v>271994.709386097</c:v>
                </c:pt>
                <c:pt idx="16" c:formatCode="#,##0_);[Red]\(#,##0\)">
                  <c:v>263834.868104514</c:v>
                </c:pt>
                <c:pt idx="17" c:formatCode="#,##0_);[Red]\(#,##0\)">
                  <c:v>255919.822061379</c:v>
                </c:pt>
                <c:pt idx="18" c:formatCode="#,##0_);[Red]\(#,##0\)">
                  <c:v>280820.129072756</c:v>
                </c:pt>
                <c:pt idx="20" c:formatCode="#,##0_);[Red]\(#,##0\)">
                  <c:v>294540.198236025</c:v>
                </c:pt>
                <c:pt idx="21" c:formatCode="#,##0_);[Red]\(#,##0\)">
                  <c:v>319442.233177798</c:v>
                </c:pt>
                <c:pt idx="22" c:formatCode="#,##0_);[Red]\(#,##0\)">
                  <c:v>319442.233177798</c:v>
                </c:pt>
                <c:pt idx="23" c:formatCode="#,##0_);[Red]\(#,##0\)">
                  <c:v>319442.233177798</c:v>
                </c:pt>
                <c:pt idx="24" c:formatCode="#,##0_);[Red]\(#,##0\)">
                  <c:v>319442.233177798</c:v>
                </c:pt>
                <c:pt idx="25" c:formatCode="#,##0_);[Red]\(#,##0\)">
                  <c:v>319442.233177798</c:v>
                </c:pt>
                <c:pt idx="27" c:formatCode="#,##0_);[Red]\(#,##0\)">
                  <c:v>319442.233177798</c:v>
                </c:pt>
                <c:pt idx="28" c:formatCode="#,##0_);[Red]\(#,##0\)">
                  <c:v>319442.233177798</c:v>
                </c:pt>
                <c:pt idx="29" c:formatCode="#,##0_);[Red]\(#,##0\)">
                  <c:v>309858.966182464</c:v>
                </c:pt>
                <c:pt idx="30" c:formatCode="#,##0_);[Red]\(#,##0\)">
                  <c:v>300563.19719699</c:v>
                </c:pt>
                <c:pt idx="31" c:formatCode="#,##0_);[Red]\(#,##0\)">
                  <c:v>291546.30128108</c:v>
                </c:pt>
                <c:pt idx="32" c:formatCode="#,##0_);[Red]\(#,##0\)">
                  <c:v>282799.912242648</c:v>
                </c:pt>
                <c:pt idx="33" c:formatCode="#,##0_);[Red]\(#,##0\)">
                  <c:v>274315.914875368</c:v>
                </c:pt>
                <c:pt idx="34" c:formatCode="#,##0_);[Red]\(#,##0\)">
                  <c:v>285288.551470383</c:v>
                </c:pt>
                <c:pt idx="35" c:formatCode="#,##0_);[Red]\(#,##0\)">
                  <c:v>276729.894926271</c:v>
                </c:pt>
                <c:pt idx="36" c:formatCode="#,##0_);[Red]\(#,##0\)">
                  <c:v>276729.894926271</c:v>
                </c:pt>
                <c:pt idx="37" c:formatCode="#,##0_);[Red]\(#,##0\)">
                  <c:v>301020.630147578</c:v>
                </c:pt>
                <c:pt idx="38" c:formatCode="#,##0_);[Red]\(#,##0\)">
                  <c:v>291990.011243151</c:v>
                </c:pt>
                <c:pt idx="40" c:formatCode="#,##0_);[Red]\(#,##0\)">
                  <c:v>291990.011243151</c:v>
                </c:pt>
                <c:pt idx="42" c:formatCode="#,##0_);[Red]\(#,##0\)">
                  <c:v>291990.011243151</c:v>
                </c:pt>
                <c:pt idx="43" c:formatCode="#,##0_);[Red]\(#,##0\)">
                  <c:v>291990.011243151</c:v>
                </c:pt>
                <c:pt idx="44" c:formatCode="#,##0_);[Red]\(#,##0\)">
                  <c:v>351286.444295602</c:v>
                </c:pt>
                <c:pt idx="45" c:formatCode="#,##0_);[Red]\(#,##0\)">
                  <c:v>340747.850966734</c:v>
                </c:pt>
                <c:pt idx="46" c:formatCode="#,##0_);[Red]\(#,##0\)">
                  <c:v>330525.415437732</c:v>
                </c:pt>
                <c:pt idx="47" c:formatCode="#,##0_);[Red]\(#,##0\)">
                  <c:v>330525.415437732</c:v>
                </c:pt>
                <c:pt idx="48" c:formatCode="#,##0_);[Red]\(#,##0\)">
                  <c:v>320609.6529746</c:v>
                </c:pt>
                <c:pt idx="49" c:formatCode="#,##0_);[Red]\(#,##0\)">
                  <c:v>310991.363385362</c:v>
                </c:pt>
                <c:pt idx="50" c:formatCode="#,##0_);[Red]\(#,##0\)">
                  <c:v>419838.340570251</c:v>
                </c:pt>
                <c:pt idx="51" c:formatCode="#,##0_);[Red]\(#,##0\)">
                  <c:v>407243.190353143</c:v>
                </c:pt>
                <c:pt idx="52" c:formatCode="#,##0_);[Red]\(#,##0\)">
                  <c:v>407243.190353143</c:v>
                </c:pt>
                <c:pt idx="53" c:formatCode="#,##0_);[Red]\(#,##0\)">
                  <c:v>727336.337970701</c:v>
                </c:pt>
                <c:pt idx="54" c:formatCode="#,##0_);[Red]\(#,##0\)">
                  <c:v>1646204.57827379</c:v>
                </c:pt>
                <c:pt idx="55" c:formatCode="#,##0_);[Red]\(#,##0\)">
                  <c:v>1596818.44092557</c:v>
                </c:pt>
                <c:pt idx="56" c:formatCode="#,##0_);[Red]\(#,##0\)">
                  <c:v>1886201.04817902</c:v>
                </c:pt>
                <c:pt idx="57" c:formatCode="#,##0_);[Red]\(#,##0\)">
                  <c:v>1829615.01673365</c:v>
                </c:pt>
                <c:pt idx="58" c:formatCode="#,##0_);[Red]\(#,##0\)">
                  <c:v>1842599.38136853</c:v>
                </c:pt>
                <c:pt idx="59" c:formatCode="#,##0_);[Red]\(#,##0\)">
                  <c:v>1842599.38136853</c:v>
                </c:pt>
                <c:pt idx="60" c:formatCode="#,##0_);[Red]\(#,##0\)">
                  <c:v>1787321.39992747</c:v>
                </c:pt>
                <c:pt idx="61" c:formatCode="#,##0_);[Red]\(#,##0\)">
                  <c:v>1787321.39992747</c:v>
                </c:pt>
                <c:pt idx="62" c:formatCode="#,##0_);[Red]\(#,##0\)">
                  <c:v>1733701.75792965</c:v>
                </c:pt>
                <c:pt idx="63" c:formatCode="#,##0_);[Red]\(#,##0\)">
                  <c:v>1681690.70519176</c:v>
                </c:pt>
                <c:pt idx="64" c:formatCode="#,##0_);[Red]\(#,##0\)">
                  <c:v>1681690.70519176</c:v>
                </c:pt>
                <c:pt idx="65" c:formatCode="#,##0_);[Red]\(#,##0\)">
                  <c:v>1883493.58981477</c:v>
                </c:pt>
                <c:pt idx="67" c:formatCode="#,##0_);[Red]\(#,##0\)">
                  <c:v>1826988.78212033</c:v>
                </c:pt>
                <c:pt idx="68" c:formatCode="#,##0_);[Red]\(#,##0\)">
                  <c:v>1772179.11865672</c:v>
                </c:pt>
                <c:pt idx="69" c:formatCode="#,##0_);[Red]\(#,##0\)">
                  <c:v>1772179.11865672</c:v>
                </c:pt>
                <c:pt idx="70" c:formatCode="#,##0_);[Red]\(#,##0\)">
                  <c:v>1719013.74509702</c:v>
                </c:pt>
                <c:pt idx="71" c:formatCode="#,##0_);[Red]\(#,##0\)">
                  <c:v>1749096.48563622</c:v>
                </c:pt>
                <c:pt idx="72" c:formatCode="#,##0_);[Red]\(#,##0\)">
                  <c:v>1696623.59106713</c:v>
                </c:pt>
                <c:pt idx="73" c:formatCode="#,##0_);[Red]\(#,##0\)">
                  <c:v>1696623.59106713</c:v>
                </c:pt>
                <c:pt idx="74" c:formatCode="#,##0_);[Red]\(#,##0\)">
                  <c:v>1696623.59106713</c:v>
                </c:pt>
                <c:pt idx="75" c:formatCode="#,##0_);[Red]\(#,##0\)">
                  <c:v>1645724.88333512</c:v>
                </c:pt>
                <c:pt idx="76" c:formatCode="#,##0_);[Red]\(#,##0\)">
                  <c:v>1813236.16610314</c:v>
                </c:pt>
                <c:pt idx="77" c:formatCode="#,##0_);[Red]\(#,##0\)">
                  <c:v>1889886.60403387</c:v>
                </c:pt>
                <c:pt idx="78" c:formatCode="#,##0_);[Red]\(#,##0\)">
                  <c:v>1889886.60403387</c:v>
                </c:pt>
                <c:pt idx="79" c:formatCode="#,##0_);[Red]\(#,##0\)">
                  <c:v>1889886.60403387</c:v>
                </c:pt>
                <c:pt idx="80" c:formatCode="#,##0_);[Red]\(#,##0\)">
                  <c:v>1833190.00591285</c:v>
                </c:pt>
                <c:pt idx="81" c:formatCode="#,##0_);[Red]\(#,##0\)">
                  <c:v>1778194.30573546</c:v>
                </c:pt>
                <c:pt idx="82" c:formatCode="#,##0_);[Red]\(#,##0\)">
                  <c:v>1724848.4765634</c:v>
                </c:pt>
                <c:pt idx="83" c:formatCode="#,##0_);[Red]\(#,##0\)">
                  <c:v>2077779.01099868</c:v>
                </c:pt>
                <c:pt idx="84" c:formatCode="#,##0_);[Red]\(#,##0\)">
                  <c:v>2015445.64066872</c:v>
                </c:pt>
                <c:pt idx="85" c:formatCode="#,##0_);[Red]\(#,##0\)">
                  <c:v>2189432.07046522</c:v>
                </c:pt>
                <c:pt idx="86" c:formatCode="#,##0_);[Red]\(#,##0\)">
                  <c:v>2549260.47161125</c:v>
                </c:pt>
                <c:pt idx="87" c:formatCode="#,##0_);[Red]\(#,##0\)">
                  <c:v>2549260.47161125</c:v>
                </c:pt>
                <c:pt idx="88" c:formatCode="#,##0_);[Red]\(#,##0\)">
                  <c:v>2472782.65746291</c:v>
                </c:pt>
                <c:pt idx="89" c:formatCode="#,##0_);[Red]\(#,##0\)">
                  <c:v>2472782.65746291</c:v>
                </c:pt>
                <c:pt idx="91" c:formatCode="#,##0_);[Red]\(#,##0\)">
                  <c:v>2472782.65746291</c:v>
                </c:pt>
                <c:pt idx="92" c:formatCode="#,##0_);[Red]\(#,##0\)">
                  <c:v>2762098.22838607</c:v>
                </c:pt>
                <c:pt idx="93" c:formatCode="#,##0_);[Red]\(#,##0\)">
                  <c:v>2871406.79657327</c:v>
                </c:pt>
                <c:pt idx="94" c:formatCode="#,##0_);[Red]\(#,##0\)">
                  <c:v>2785264.59267607</c:v>
                </c:pt>
                <c:pt idx="95" c:formatCode="#,##0_);[Red]\(#,##0\)">
                  <c:v>2701706.65489579</c:v>
                </c:pt>
                <c:pt idx="96" c:formatCode="#,##0_);[Red]\(#,##0\)">
                  <c:v>2701706.65489579</c:v>
                </c:pt>
                <c:pt idx="97" c:formatCode="#,##0_);[Red]\(#,##0\)">
                  <c:v>2620655.45524891</c:v>
                </c:pt>
                <c:pt idx="98" c:formatCode="#,##0_);[Red]\(#,##0\)">
                  <c:v>2620655.45524891</c:v>
                </c:pt>
                <c:pt idx="99" c:formatCode="#,##0_);[Red]\(#,##0\)">
                  <c:v>2912010.67939129</c:v>
                </c:pt>
                <c:pt idx="100" c:formatCode="#,##0_);[Red]\(#,##0\)">
                  <c:v>2824650.35900955</c:v>
                </c:pt>
                <c:pt idx="101" c:formatCode="#,##0_);[Red]\(#,##0\)">
                  <c:v>2739910.84823926</c:v>
                </c:pt>
                <c:pt idx="102" c:formatCode="#,##0_);[Red]\(#,##0\)">
                  <c:v>2739910.84823926</c:v>
                </c:pt>
                <c:pt idx="103" c:formatCode="#,##0_);[Red]\(#,##0\)">
                  <c:v>2657713.52279208</c:v>
                </c:pt>
                <c:pt idx="104" c:formatCode="#,##0_);[Red]\(#,##0\)">
                  <c:v>2657713.52279208</c:v>
                </c:pt>
                <c:pt idx="105" c:formatCode="#,##0_);[Red]\(#,##0\)">
                  <c:v>2657713.52279208</c:v>
                </c:pt>
                <c:pt idx="106" c:formatCode="#,##0_);[Red]\(#,##0\)">
                  <c:v>2657713.52279208</c:v>
                </c:pt>
                <c:pt idx="107" c:formatCode="#,##0_);[Red]\(#,##0\)">
                  <c:v>2577982.11710832</c:v>
                </c:pt>
                <c:pt idx="108" c:formatCode="#,##0_);[Red]\(#,##0\)">
                  <c:v>2577982.11710832</c:v>
                </c:pt>
                <c:pt idx="109" c:formatCode="#,##0_);[Red]\(#,##0\)">
                  <c:v>2500642.65359507</c:v>
                </c:pt>
                <c:pt idx="110" c:formatCode="#,##0_);[Red]\(#,##0\)">
                  <c:v>2425623.37398722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517594024"/>
        <c:axId val="332234071"/>
      </c:lineChart>
      <c:dateAx>
        <c:axId val="517594024"/>
        <c:scaling>
          <c:orientation val="minMax"/>
        </c:scaling>
        <c:delete val="0"/>
        <c:axPos val="b"/>
        <c:majorTickMark val="in"/>
        <c:minorTickMark val="in"/>
        <c:tickLblPos val="nextTo"/>
        <c:spPr>
          <a:noFill/>
          <a:ln w="9525" cap="flat" cmpd="sng" algn="ctr">
            <a:gradFill>
              <a:gsLst>
                <a:gs pos="0">
                  <a:schemeClr val="accent1">
                    <a:lumMod val="5000"/>
                    <a:lumOff val="95000"/>
                  </a:schemeClr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5400000" scaled="1"/>
            </a:gra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32234071"/>
        <c:crosses val="autoZero"/>
        <c:auto val="0"/>
        <c:lblOffset val="100"/>
        <c:baseTimeUnit val="days"/>
        <c:majorUnit val="1"/>
        <c:majorTimeUnit val="months"/>
        <c:minorUnit val="1"/>
        <c:minorTimeUnit val="days"/>
      </c:dateAx>
      <c:valAx>
        <c:axId val="332234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ja-JP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517594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ja-JP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5" Type="http://schemas.openxmlformats.org/officeDocument/2006/relationships/image" Target="../media/image35.png"/><Relationship Id="rId34" Type="http://schemas.openxmlformats.org/officeDocument/2006/relationships/image" Target="../media/image34.png"/><Relationship Id="rId33" Type="http://schemas.openxmlformats.org/officeDocument/2006/relationships/image" Target="../media/image33.png"/><Relationship Id="rId32" Type="http://schemas.openxmlformats.org/officeDocument/2006/relationships/image" Target="../media/image32.png"/><Relationship Id="rId31" Type="http://schemas.openxmlformats.org/officeDocument/2006/relationships/image" Target="../media/image31.png"/><Relationship Id="rId30" Type="http://schemas.openxmlformats.org/officeDocument/2006/relationships/image" Target="../media/image30.png"/><Relationship Id="rId3" Type="http://schemas.openxmlformats.org/officeDocument/2006/relationships/image" Target="../media/image3.png"/><Relationship Id="rId29" Type="http://schemas.openxmlformats.org/officeDocument/2006/relationships/image" Target="../media/image29.png"/><Relationship Id="rId28" Type="http://schemas.openxmlformats.org/officeDocument/2006/relationships/image" Target="../media/image28.png"/><Relationship Id="rId27" Type="http://schemas.openxmlformats.org/officeDocument/2006/relationships/image" Target="../media/image27.png"/><Relationship Id="rId26" Type="http://schemas.openxmlformats.org/officeDocument/2006/relationships/image" Target="../media/image26.png"/><Relationship Id="rId25" Type="http://schemas.openxmlformats.org/officeDocument/2006/relationships/image" Target="../media/image25.png"/><Relationship Id="rId24" Type="http://schemas.openxmlformats.org/officeDocument/2006/relationships/image" Target="../media/image24.png"/><Relationship Id="rId23" Type="http://schemas.openxmlformats.org/officeDocument/2006/relationships/image" Target="../media/image23.png"/><Relationship Id="rId22" Type="http://schemas.openxmlformats.org/officeDocument/2006/relationships/image" Target="../media/image22.png"/><Relationship Id="rId21" Type="http://schemas.openxmlformats.org/officeDocument/2006/relationships/image" Target="../media/image21.png"/><Relationship Id="rId20" Type="http://schemas.openxmlformats.org/officeDocument/2006/relationships/image" Target="../media/image20.png"/><Relationship Id="rId2" Type="http://schemas.openxmlformats.org/officeDocument/2006/relationships/image" Target="../media/image2.png"/><Relationship Id="rId19" Type="http://schemas.openxmlformats.org/officeDocument/2006/relationships/image" Target="../media/image19.png"/><Relationship Id="rId18" Type="http://schemas.openxmlformats.org/officeDocument/2006/relationships/image" Target="../media/image18.png"/><Relationship Id="rId17" Type="http://schemas.openxmlformats.org/officeDocument/2006/relationships/image" Target="../media/image17.png"/><Relationship Id="rId16" Type="http://schemas.openxmlformats.org/officeDocument/2006/relationships/image" Target="../media/image16.png"/><Relationship Id="rId15" Type="http://schemas.openxmlformats.org/officeDocument/2006/relationships/image" Target="../media/image15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1905</xdr:colOff>
      <xdr:row>0</xdr:row>
      <xdr:rowOff>146050</xdr:rowOff>
    </xdr:from>
    <xdr:to>
      <xdr:col>24</xdr:col>
      <xdr:colOff>630555</xdr:colOff>
      <xdr:row>14</xdr:row>
      <xdr:rowOff>97790</xdr:rowOff>
    </xdr:to>
    <xdr:graphicFrame>
      <xdr:nvGraphicFramePr>
        <xdr:cNvPr id="2" name="グラフ 1"/>
        <xdr:cNvGraphicFramePr/>
      </xdr:nvGraphicFramePr>
      <xdr:xfrm>
        <a:off x="8126095" y="146050"/>
        <a:ext cx="8433435" cy="32854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480060</xdr:colOff>
      <xdr:row>203</xdr:row>
      <xdr:rowOff>22860</xdr:rowOff>
    </xdr:from>
    <xdr:ext cx="18531" cy="156518"/>
    <xdr:sp>
      <xdr:nvSpPr>
        <xdr:cNvPr id="12" name="正方形/長方形 23"/>
        <xdr:cNvSpPr>
          <a:spLocks noChangeArrowheads="1"/>
        </xdr:cNvSpPr>
      </xdr:nvSpPr>
      <xdr:spPr>
        <a:xfrm>
          <a:off x="1099185" y="368274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</xdr:col>
      <xdr:colOff>190500</xdr:colOff>
      <xdr:row>246</xdr:row>
      <xdr:rowOff>68580</xdr:rowOff>
    </xdr:from>
    <xdr:ext cx="20848" cy="266272"/>
    <xdr:sp>
      <xdr:nvSpPr>
        <xdr:cNvPr id="13" name="正方形/長方形 27"/>
        <xdr:cNvSpPr>
          <a:spLocks noChangeArrowheads="1"/>
        </xdr:cNvSpPr>
      </xdr:nvSpPr>
      <xdr:spPr>
        <a:xfrm>
          <a:off x="809625" y="44245530"/>
          <a:ext cx="20320" cy="2660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0</xdr:col>
      <xdr:colOff>556260</xdr:colOff>
      <xdr:row>330</xdr:row>
      <xdr:rowOff>68580</xdr:rowOff>
    </xdr:from>
    <xdr:ext cx="18531" cy="213668"/>
    <xdr:sp>
      <xdr:nvSpPr>
        <xdr:cNvPr id="18" name="正方形/長方形 16"/>
        <xdr:cNvSpPr>
          <a:spLocks noChangeArrowheads="1"/>
        </xdr:cNvSpPr>
      </xdr:nvSpPr>
      <xdr:spPr>
        <a:xfrm>
          <a:off x="556260" y="58647330"/>
          <a:ext cx="18415" cy="21336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>
    <xdr:from>
      <xdr:col>0</xdr:col>
      <xdr:colOff>0</xdr:colOff>
      <xdr:row>10</xdr:row>
      <xdr:rowOff>0</xdr:rowOff>
    </xdr:from>
    <xdr:to>
      <xdr:col>10</xdr:col>
      <xdr:colOff>476250</xdr:colOff>
      <xdr:row>32</xdr:row>
      <xdr:rowOff>133350</xdr:rowOff>
    </xdr:to>
    <xdr:pic>
      <xdr:nvPicPr>
        <xdr:cNvPr id="2" name="図形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3048000"/>
          <a:ext cx="6667500" cy="4572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10</xdr:col>
      <xdr:colOff>492125</xdr:colOff>
      <xdr:row>10</xdr:row>
      <xdr:rowOff>0</xdr:rowOff>
    </xdr:from>
    <xdr:to>
      <xdr:col>21</xdr:col>
      <xdr:colOff>368300</xdr:colOff>
      <xdr:row>33</xdr:row>
      <xdr:rowOff>66675</xdr:rowOff>
    </xdr:to>
    <xdr:pic>
      <xdr:nvPicPr>
        <xdr:cNvPr id="5" name="図形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683375" y="3048000"/>
          <a:ext cx="6686550" cy="4676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7</xdr:col>
      <xdr:colOff>314325</xdr:colOff>
      <xdr:row>10</xdr:row>
      <xdr:rowOff>101600</xdr:rowOff>
    </xdr:from>
    <xdr:to>
      <xdr:col>12</xdr:col>
      <xdr:colOff>0</xdr:colOff>
      <xdr:row>16</xdr:row>
      <xdr:rowOff>15875</xdr:rowOff>
    </xdr:to>
    <xdr:pic>
      <xdr:nvPicPr>
        <xdr:cNvPr id="3" name="図形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648200" y="3149600"/>
          <a:ext cx="2781300" cy="16097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21</xdr:col>
      <xdr:colOff>403225</xdr:colOff>
      <xdr:row>10</xdr:row>
      <xdr:rowOff>0</xdr:rowOff>
    </xdr:from>
    <xdr:to>
      <xdr:col>31</xdr:col>
      <xdr:colOff>250825</xdr:colOff>
      <xdr:row>33</xdr:row>
      <xdr:rowOff>47625</xdr:rowOff>
    </xdr:to>
    <xdr:pic>
      <xdr:nvPicPr>
        <xdr:cNvPr id="8" name="図形 7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3404850" y="3048000"/>
          <a:ext cx="6038850" cy="4657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31</xdr:col>
      <xdr:colOff>301625</xdr:colOff>
      <xdr:row>10</xdr:row>
      <xdr:rowOff>0</xdr:rowOff>
    </xdr:from>
    <xdr:to>
      <xdr:col>38</xdr:col>
      <xdr:colOff>244475</xdr:colOff>
      <xdr:row>33</xdr:row>
      <xdr:rowOff>47625</xdr:rowOff>
    </xdr:to>
    <xdr:pic>
      <xdr:nvPicPr>
        <xdr:cNvPr id="17" name="図形 16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9494500" y="3048000"/>
          <a:ext cx="4276725" cy="4657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38</xdr:col>
      <xdr:colOff>327025</xdr:colOff>
      <xdr:row>10</xdr:row>
      <xdr:rowOff>0</xdr:rowOff>
    </xdr:from>
    <xdr:to>
      <xdr:col>47</xdr:col>
      <xdr:colOff>508000</xdr:colOff>
      <xdr:row>33</xdr:row>
      <xdr:rowOff>76200</xdr:rowOff>
    </xdr:to>
    <xdr:pic>
      <xdr:nvPicPr>
        <xdr:cNvPr id="19" name="図形 18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23853775" y="3048000"/>
          <a:ext cx="5753100" cy="468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48</xdr:col>
      <xdr:colOff>0</xdr:colOff>
      <xdr:row>10</xdr:row>
      <xdr:rowOff>0</xdr:rowOff>
    </xdr:from>
    <xdr:to>
      <xdr:col>56</xdr:col>
      <xdr:colOff>38100</xdr:colOff>
      <xdr:row>33</xdr:row>
      <xdr:rowOff>104775</xdr:rowOff>
    </xdr:to>
    <xdr:pic>
      <xdr:nvPicPr>
        <xdr:cNvPr id="20" name="図形 19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29718000" y="3048000"/>
          <a:ext cx="4991100" cy="47148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56</xdr:col>
      <xdr:colOff>85725</xdr:colOff>
      <xdr:row>10</xdr:row>
      <xdr:rowOff>0</xdr:rowOff>
    </xdr:from>
    <xdr:to>
      <xdr:col>66</xdr:col>
      <xdr:colOff>514350</xdr:colOff>
      <xdr:row>33</xdr:row>
      <xdr:rowOff>47625</xdr:rowOff>
    </xdr:to>
    <xdr:pic>
      <xdr:nvPicPr>
        <xdr:cNvPr id="21" name="図形 20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34756725" y="3048000"/>
          <a:ext cx="6619875" cy="4657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67</xdr:col>
      <xdr:colOff>0</xdr:colOff>
      <xdr:row>10</xdr:row>
      <xdr:rowOff>0</xdr:rowOff>
    </xdr:from>
    <xdr:to>
      <xdr:col>76</xdr:col>
      <xdr:colOff>523875</xdr:colOff>
      <xdr:row>33</xdr:row>
      <xdr:rowOff>76200</xdr:rowOff>
    </xdr:to>
    <xdr:pic>
      <xdr:nvPicPr>
        <xdr:cNvPr id="22" name="図形 21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41481375" y="3048000"/>
          <a:ext cx="6096000" cy="468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77</xdr:col>
      <xdr:colOff>0</xdr:colOff>
      <xdr:row>10</xdr:row>
      <xdr:rowOff>0</xdr:rowOff>
    </xdr:from>
    <xdr:to>
      <xdr:col>87</xdr:col>
      <xdr:colOff>466725</xdr:colOff>
      <xdr:row>33</xdr:row>
      <xdr:rowOff>76200</xdr:rowOff>
    </xdr:to>
    <xdr:pic>
      <xdr:nvPicPr>
        <xdr:cNvPr id="23" name="図形 22"/>
        <xdr:cNvPicPr>
          <a:picLocks noChangeAspect="1"/>
        </xdr:cNvPicPr>
      </xdr:nvPicPr>
      <xdr:blipFill>
        <a:blip r:embed="rId10"/>
        <a:stretch>
          <a:fillRect/>
        </a:stretch>
      </xdr:blipFill>
      <xdr:spPr>
        <a:xfrm>
          <a:off x="47672625" y="3048000"/>
          <a:ext cx="6657975" cy="468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88</xdr:col>
      <xdr:colOff>0</xdr:colOff>
      <xdr:row>10</xdr:row>
      <xdr:rowOff>0</xdr:rowOff>
    </xdr:from>
    <xdr:to>
      <xdr:col>98</xdr:col>
      <xdr:colOff>523875</xdr:colOff>
      <xdr:row>33</xdr:row>
      <xdr:rowOff>47625</xdr:rowOff>
    </xdr:to>
    <xdr:pic>
      <xdr:nvPicPr>
        <xdr:cNvPr id="24" name="図形 23"/>
        <xdr:cNvPicPr>
          <a:picLocks noChangeAspect="1"/>
        </xdr:cNvPicPr>
      </xdr:nvPicPr>
      <xdr:blipFill>
        <a:blip r:embed="rId11"/>
        <a:stretch>
          <a:fillRect/>
        </a:stretch>
      </xdr:blipFill>
      <xdr:spPr>
        <a:xfrm>
          <a:off x="54483000" y="3048000"/>
          <a:ext cx="6715125" cy="4657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99</xdr:col>
      <xdr:colOff>0</xdr:colOff>
      <xdr:row>10</xdr:row>
      <xdr:rowOff>0</xdr:rowOff>
    </xdr:from>
    <xdr:to>
      <xdr:col>108</xdr:col>
      <xdr:colOff>600075</xdr:colOff>
      <xdr:row>33</xdr:row>
      <xdr:rowOff>85725</xdr:rowOff>
    </xdr:to>
    <xdr:pic>
      <xdr:nvPicPr>
        <xdr:cNvPr id="25" name="図形 24"/>
        <xdr:cNvPicPr>
          <a:picLocks noChangeAspect="1"/>
        </xdr:cNvPicPr>
      </xdr:nvPicPr>
      <xdr:blipFill>
        <a:blip r:embed="rId12"/>
        <a:stretch>
          <a:fillRect/>
        </a:stretch>
      </xdr:blipFill>
      <xdr:spPr>
        <a:xfrm>
          <a:off x="61293375" y="3048000"/>
          <a:ext cx="6172200" cy="4695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109</xdr:col>
      <xdr:colOff>0</xdr:colOff>
      <xdr:row>10</xdr:row>
      <xdr:rowOff>0</xdr:rowOff>
    </xdr:from>
    <xdr:to>
      <xdr:col>119</xdr:col>
      <xdr:colOff>304800</xdr:colOff>
      <xdr:row>33</xdr:row>
      <xdr:rowOff>76200</xdr:rowOff>
    </xdr:to>
    <xdr:pic>
      <xdr:nvPicPr>
        <xdr:cNvPr id="26" name="図形 25"/>
        <xdr:cNvPicPr>
          <a:picLocks noChangeAspect="1"/>
        </xdr:cNvPicPr>
      </xdr:nvPicPr>
      <xdr:blipFill>
        <a:blip r:embed="rId13"/>
        <a:stretch>
          <a:fillRect/>
        </a:stretch>
      </xdr:blipFill>
      <xdr:spPr>
        <a:xfrm>
          <a:off x="67484625" y="3048000"/>
          <a:ext cx="6496050" cy="468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119</xdr:col>
      <xdr:colOff>390525</xdr:colOff>
      <xdr:row>10</xdr:row>
      <xdr:rowOff>0</xdr:rowOff>
    </xdr:from>
    <xdr:to>
      <xdr:col>130</xdr:col>
      <xdr:colOff>247650</xdr:colOff>
      <xdr:row>33</xdr:row>
      <xdr:rowOff>57150</xdr:rowOff>
    </xdr:to>
    <xdr:pic>
      <xdr:nvPicPr>
        <xdr:cNvPr id="27" name="図形 26"/>
        <xdr:cNvPicPr>
          <a:picLocks noChangeAspect="1"/>
        </xdr:cNvPicPr>
      </xdr:nvPicPr>
      <xdr:blipFill>
        <a:blip r:embed="rId14"/>
        <a:stretch>
          <a:fillRect/>
        </a:stretch>
      </xdr:blipFill>
      <xdr:spPr>
        <a:xfrm>
          <a:off x="74066400" y="3048000"/>
          <a:ext cx="6667500" cy="4667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120</xdr:col>
      <xdr:colOff>606425</xdr:colOff>
      <xdr:row>10</xdr:row>
      <xdr:rowOff>177800</xdr:rowOff>
    </xdr:from>
    <xdr:to>
      <xdr:col>122</xdr:col>
      <xdr:colOff>196850</xdr:colOff>
      <xdr:row>18</xdr:row>
      <xdr:rowOff>168275</xdr:rowOff>
    </xdr:to>
    <xdr:pic>
      <xdr:nvPicPr>
        <xdr:cNvPr id="28" name="図形 27"/>
        <xdr:cNvPicPr>
          <a:picLocks noChangeAspect="1"/>
        </xdr:cNvPicPr>
      </xdr:nvPicPr>
      <xdr:blipFill>
        <a:blip r:embed="rId15"/>
        <a:stretch>
          <a:fillRect/>
        </a:stretch>
      </xdr:blipFill>
      <xdr:spPr>
        <a:xfrm>
          <a:off x="74901425" y="3225800"/>
          <a:ext cx="828675" cy="20288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123</xdr:col>
      <xdr:colOff>441325</xdr:colOff>
      <xdr:row>0</xdr:row>
      <xdr:rowOff>635</xdr:rowOff>
    </xdr:from>
    <xdr:to>
      <xdr:col>129</xdr:col>
      <xdr:colOff>146050</xdr:colOff>
      <xdr:row>10</xdr:row>
      <xdr:rowOff>162560</xdr:rowOff>
    </xdr:to>
    <xdr:pic>
      <xdr:nvPicPr>
        <xdr:cNvPr id="29" name="図形 28"/>
        <xdr:cNvPicPr>
          <a:picLocks noChangeAspect="1"/>
        </xdr:cNvPicPr>
      </xdr:nvPicPr>
      <xdr:blipFill>
        <a:blip r:embed="rId16"/>
        <a:stretch>
          <a:fillRect/>
        </a:stretch>
      </xdr:blipFill>
      <xdr:spPr>
        <a:xfrm>
          <a:off x="76593700" y="635"/>
          <a:ext cx="3419475" cy="32099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130</xdr:col>
      <xdr:colOff>314325</xdr:colOff>
      <xdr:row>10</xdr:row>
      <xdr:rowOff>0</xdr:rowOff>
    </xdr:from>
    <xdr:to>
      <xdr:col>141</xdr:col>
      <xdr:colOff>209550</xdr:colOff>
      <xdr:row>33</xdr:row>
      <xdr:rowOff>38100</xdr:rowOff>
    </xdr:to>
    <xdr:pic>
      <xdr:nvPicPr>
        <xdr:cNvPr id="30" name="図形 29"/>
        <xdr:cNvPicPr>
          <a:picLocks noChangeAspect="1"/>
        </xdr:cNvPicPr>
      </xdr:nvPicPr>
      <xdr:blipFill>
        <a:blip r:embed="rId17"/>
        <a:stretch>
          <a:fillRect/>
        </a:stretch>
      </xdr:blipFill>
      <xdr:spPr>
        <a:xfrm>
          <a:off x="80800575" y="3048000"/>
          <a:ext cx="6705600" cy="4648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141</xdr:col>
      <xdr:colOff>250825</xdr:colOff>
      <xdr:row>10</xdr:row>
      <xdr:rowOff>0</xdr:rowOff>
    </xdr:from>
    <xdr:to>
      <xdr:col>152</xdr:col>
      <xdr:colOff>146050</xdr:colOff>
      <xdr:row>33</xdr:row>
      <xdr:rowOff>38100</xdr:rowOff>
    </xdr:to>
    <xdr:pic>
      <xdr:nvPicPr>
        <xdr:cNvPr id="31" name="図形 30"/>
        <xdr:cNvPicPr>
          <a:picLocks noChangeAspect="1"/>
        </xdr:cNvPicPr>
      </xdr:nvPicPr>
      <xdr:blipFill>
        <a:blip r:embed="rId18"/>
        <a:stretch>
          <a:fillRect/>
        </a:stretch>
      </xdr:blipFill>
      <xdr:spPr>
        <a:xfrm>
          <a:off x="87547450" y="3048000"/>
          <a:ext cx="6705600" cy="46482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141</xdr:col>
      <xdr:colOff>593725</xdr:colOff>
      <xdr:row>5</xdr:row>
      <xdr:rowOff>76200</xdr:rowOff>
    </xdr:from>
    <xdr:to>
      <xdr:col>143</xdr:col>
      <xdr:colOff>193675</xdr:colOff>
      <xdr:row>17</xdr:row>
      <xdr:rowOff>123825</xdr:rowOff>
    </xdr:to>
    <xdr:pic>
      <xdr:nvPicPr>
        <xdr:cNvPr id="32" name="図形 31"/>
        <xdr:cNvPicPr>
          <a:picLocks noChangeAspect="1"/>
        </xdr:cNvPicPr>
      </xdr:nvPicPr>
      <xdr:blipFill>
        <a:blip r:embed="rId19"/>
        <a:stretch>
          <a:fillRect/>
        </a:stretch>
      </xdr:blipFill>
      <xdr:spPr>
        <a:xfrm>
          <a:off x="87890350" y="1600200"/>
          <a:ext cx="838200" cy="34385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144</xdr:col>
      <xdr:colOff>22225</xdr:colOff>
      <xdr:row>6</xdr:row>
      <xdr:rowOff>165100</xdr:rowOff>
    </xdr:from>
    <xdr:to>
      <xdr:col>145</xdr:col>
      <xdr:colOff>346075</xdr:colOff>
      <xdr:row>20</xdr:row>
      <xdr:rowOff>79375</xdr:rowOff>
    </xdr:to>
    <xdr:pic>
      <xdr:nvPicPr>
        <xdr:cNvPr id="33" name="図形 32"/>
        <xdr:cNvPicPr>
          <a:picLocks noChangeAspect="1"/>
        </xdr:cNvPicPr>
      </xdr:nvPicPr>
      <xdr:blipFill>
        <a:blip r:embed="rId20"/>
        <a:stretch>
          <a:fillRect/>
        </a:stretch>
      </xdr:blipFill>
      <xdr:spPr>
        <a:xfrm>
          <a:off x="89176225" y="1993900"/>
          <a:ext cx="942975" cy="3514725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149</xdr:col>
      <xdr:colOff>415925</xdr:colOff>
      <xdr:row>0</xdr:row>
      <xdr:rowOff>635</xdr:rowOff>
    </xdr:from>
    <xdr:to>
      <xdr:col>151</xdr:col>
      <xdr:colOff>139700</xdr:colOff>
      <xdr:row>11</xdr:row>
      <xdr:rowOff>229235</xdr:rowOff>
    </xdr:to>
    <xdr:pic>
      <xdr:nvPicPr>
        <xdr:cNvPr id="34" name="図形 33"/>
        <xdr:cNvPicPr>
          <a:picLocks noChangeAspect="1"/>
        </xdr:cNvPicPr>
      </xdr:nvPicPr>
      <xdr:blipFill>
        <a:blip r:embed="rId21"/>
        <a:stretch>
          <a:fillRect/>
        </a:stretch>
      </xdr:blipFill>
      <xdr:spPr>
        <a:xfrm>
          <a:off x="92665550" y="635"/>
          <a:ext cx="962025" cy="3581400"/>
        </a:xfrm>
        <a:prstGeom prst="rect">
          <a:avLst/>
        </a:prstGeom>
        <a:noFill/>
        <a:ln w="25400">
          <a:solidFill>
            <a:schemeClr val="bg1"/>
          </a:solidFill>
        </a:ln>
      </xdr:spPr>
    </xdr:pic>
    <xdr:clientData/>
  </xdr:twoCellAnchor>
  <xdr:twoCellAnchor>
    <xdr:from>
      <xdr:col>152</xdr:col>
      <xdr:colOff>200025</xdr:colOff>
      <xdr:row>10</xdr:row>
      <xdr:rowOff>0</xdr:rowOff>
    </xdr:from>
    <xdr:to>
      <xdr:col>163</xdr:col>
      <xdr:colOff>66675</xdr:colOff>
      <xdr:row>33</xdr:row>
      <xdr:rowOff>47625</xdr:rowOff>
    </xdr:to>
    <xdr:pic>
      <xdr:nvPicPr>
        <xdr:cNvPr id="35" name="図形 34"/>
        <xdr:cNvPicPr>
          <a:picLocks noChangeAspect="1"/>
        </xdr:cNvPicPr>
      </xdr:nvPicPr>
      <xdr:blipFill>
        <a:blip r:embed="rId22"/>
        <a:stretch>
          <a:fillRect/>
        </a:stretch>
      </xdr:blipFill>
      <xdr:spPr>
        <a:xfrm>
          <a:off x="94307025" y="3048000"/>
          <a:ext cx="6677025" cy="46577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157</xdr:col>
      <xdr:colOff>314325</xdr:colOff>
      <xdr:row>7</xdr:row>
      <xdr:rowOff>177800</xdr:rowOff>
    </xdr:from>
    <xdr:to>
      <xdr:col>159</xdr:col>
      <xdr:colOff>38100</xdr:colOff>
      <xdr:row>18</xdr:row>
      <xdr:rowOff>130175</xdr:rowOff>
    </xdr:to>
    <xdr:pic>
      <xdr:nvPicPr>
        <xdr:cNvPr id="36" name="図形 35"/>
        <xdr:cNvPicPr>
          <a:picLocks noChangeAspect="1"/>
        </xdr:cNvPicPr>
      </xdr:nvPicPr>
      <xdr:blipFill>
        <a:blip r:embed="rId23"/>
        <a:stretch>
          <a:fillRect/>
        </a:stretch>
      </xdr:blipFill>
      <xdr:spPr>
        <a:xfrm>
          <a:off x="97516950" y="2311400"/>
          <a:ext cx="962025" cy="2905125"/>
        </a:xfrm>
        <a:prstGeom prst="rect">
          <a:avLst/>
        </a:prstGeom>
        <a:noFill/>
        <a:ln w="9525">
          <a:solidFill>
            <a:schemeClr val="bg1"/>
          </a:solidFill>
        </a:ln>
      </xdr:spPr>
    </xdr:pic>
    <xdr:clientData/>
  </xdr:twoCellAnchor>
  <xdr:twoCellAnchor>
    <xdr:from>
      <xdr:col>159</xdr:col>
      <xdr:colOff>263525</xdr:colOff>
      <xdr:row>9</xdr:row>
      <xdr:rowOff>165100</xdr:rowOff>
    </xdr:from>
    <xdr:to>
      <xdr:col>161</xdr:col>
      <xdr:colOff>415925</xdr:colOff>
      <xdr:row>17</xdr:row>
      <xdr:rowOff>136525</xdr:rowOff>
    </xdr:to>
    <xdr:pic>
      <xdr:nvPicPr>
        <xdr:cNvPr id="37" name="図形 36"/>
        <xdr:cNvPicPr>
          <a:picLocks noChangeAspect="1"/>
        </xdr:cNvPicPr>
      </xdr:nvPicPr>
      <xdr:blipFill>
        <a:blip r:embed="rId24"/>
        <a:stretch>
          <a:fillRect/>
        </a:stretch>
      </xdr:blipFill>
      <xdr:spPr>
        <a:xfrm>
          <a:off x="98704400" y="2908300"/>
          <a:ext cx="1390650" cy="2143125"/>
        </a:xfrm>
        <a:prstGeom prst="rect">
          <a:avLst/>
        </a:prstGeom>
        <a:noFill/>
        <a:ln w="9525">
          <a:solidFill>
            <a:schemeClr val="bg1"/>
          </a:solidFill>
        </a:ln>
      </xdr:spPr>
    </xdr:pic>
    <xdr:clientData/>
  </xdr:twoCellAnchor>
  <xdr:twoCellAnchor>
    <xdr:from>
      <xdr:col>163</xdr:col>
      <xdr:colOff>85725</xdr:colOff>
      <xdr:row>10</xdr:row>
      <xdr:rowOff>0</xdr:rowOff>
    </xdr:from>
    <xdr:to>
      <xdr:col>173</xdr:col>
      <xdr:colOff>590550</xdr:colOff>
      <xdr:row>33</xdr:row>
      <xdr:rowOff>76200</xdr:rowOff>
    </xdr:to>
    <xdr:pic>
      <xdr:nvPicPr>
        <xdr:cNvPr id="38" name="図形 37"/>
        <xdr:cNvPicPr>
          <a:picLocks noChangeAspect="1"/>
        </xdr:cNvPicPr>
      </xdr:nvPicPr>
      <xdr:blipFill>
        <a:blip r:embed="rId25"/>
        <a:stretch>
          <a:fillRect/>
        </a:stretch>
      </xdr:blipFill>
      <xdr:spPr>
        <a:xfrm>
          <a:off x="101003100" y="3048000"/>
          <a:ext cx="6696075" cy="468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174</xdr:col>
      <xdr:colOff>0</xdr:colOff>
      <xdr:row>10</xdr:row>
      <xdr:rowOff>0</xdr:rowOff>
    </xdr:from>
    <xdr:to>
      <xdr:col>184</xdr:col>
      <xdr:colOff>333375</xdr:colOff>
      <xdr:row>33</xdr:row>
      <xdr:rowOff>66675</xdr:rowOff>
    </xdr:to>
    <xdr:pic>
      <xdr:nvPicPr>
        <xdr:cNvPr id="39" name="図形 38"/>
        <xdr:cNvPicPr>
          <a:picLocks noChangeAspect="1"/>
        </xdr:cNvPicPr>
      </xdr:nvPicPr>
      <xdr:blipFill>
        <a:blip r:embed="rId26"/>
        <a:stretch>
          <a:fillRect/>
        </a:stretch>
      </xdr:blipFill>
      <xdr:spPr>
        <a:xfrm>
          <a:off x="107727750" y="3048000"/>
          <a:ext cx="6524625" cy="4676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184</xdr:col>
      <xdr:colOff>428625</xdr:colOff>
      <xdr:row>10</xdr:row>
      <xdr:rowOff>0</xdr:rowOff>
    </xdr:from>
    <xdr:to>
      <xdr:col>195</xdr:col>
      <xdr:colOff>285750</xdr:colOff>
      <xdr:row>33</xdr:row>
      <xdr:rowOff>57150</xdr:rowOff>
    </xdr:to>
    <xdr:pic>
      <xdr:nvPicPr>
        <xdr:cNvPr id="40" name="図形 39"/>
        <xdr:cNvPicPr>
          <a:picLocks noChangeAspect="1"/>
        </xdr:cNvPicPr>
      </xdr:nvPicPr>
      <xdr:blipFill>
        <a:blip r:embed="rId27"/>
        <a:stretch>
          <a:fillRect/>
        </a:stretch>
      </xdr:blipFill>
      <xdr:spPr>
        <a:xfrm>
          <a:off x="114347625" y="3048000"/>
          <a:ext cx="6667500" cy="4667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195</xdr:col>
      <xdr:colOff>365125</xdr:colOff>
      <xdr:row>10</xdr:row>
      <xdr:rowOff>0</xdr:rowOff>
    </xdr:from>
    <xdr:to>
      <xdr:col>206</xdr:col>
      <xdr:colOff>231775</xdr:colOff>
      <xdr:row>33</xdr:row>
      <xdr:rowOff>57150</xdr:rowOff>
    </xdr:to>
    <xdr:pic>
      <xdr:nvPicPr>
        <xdr:cNvPr id="41" name="図形 40"/>
        <xdr:cNvPicPr>
          <a:picLocks noChangeAspect="1"/>
        </xdr:cNvPicPr>
      </xdr:nvPicPr>
      <xdr:blipFill>
        <a:blip r:embed="rId28"/>
        <a:stretch>
          <a:fillRect/>
        </a:stretch>
      </xdr:blipFill>
      <xdr:spPr>
        <a:xfrm>
          <a:off x="121094500" y="3048000"/>
          <a:ext cx="6677025" cy="4667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206</xdr:col>
      <xdr:colOff>314325</xdr:colOff>
      <xdr:row>10</xdr:row>
      <xdr:rowOff>0</xdr:rowOff>
    </xdr:from>
    <xdr:to>
      <xdr:col>219</xdr:col>
      <xdr:colOff>304800</xdr:colOff>
      <xdr:row>33</xdr:row>
      <xdr:rowOff>85725</xdr:rowOff>
    </xdr:to>
    <xdr:pic>
      <xdr:nvPicPr>
        <xdr:cNvPr id="42" name="図形 41"/>
        <xdr:cNvPicPr>
          <a:picLocks noChangeAspect="1"/>
        </xdr:cNvPicPr>
      </xdr:nvPicPr>
      <xdr:blipFill>
        <a:blip r:embed="rId29"/>
        <a:stretch>
          <a:fillRect/>
        </a:stretch>
      </xdr:blipFill>
      <xdr:spPr>
        <a:xfrm>
          <a:off x="127854075" y="3048000"/>
          <a:ext cx="8039100" cy="46958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219</xdr:col>
      <xdr:colOff>339725</xdr:colOff>
      <xdr:row>10</xdr:row>
      <xdr:rowOff>0</xdr:rowOff>
    </xdr:from>
    <xdr:to>
      <xdr:col>228</xdr:col>
      <xdr:colOff>101600</xdr:colOff>
      <xdr:row>34</xdr:row>
      <xdr:rowOff>123825</xdr:rowOff>
    </xdr:to>
    <xdr:pic>
      <xdr:nvPicPr>
        <xdr:cNvPr id="43" name="図形 42"/>
        <xdr:cNvPicPr>
          <a:picLocks noChangeAspect="1"/>
        </xdr:cNvPicPr>
      </xdr:nvPicPr>
      <xdr:blipFill>
        <a:blip r:embed="rId30"/>
        <a:stretch>
          <a:fillRect/>
        </a:stretch>
      </xdr:blipFill>
      <xdr:spPr>
        <a:xfrm>
          <a:off x="135928100" y="3048000"/>
          <a:ext cx="5334000" cy="49053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228</xdr:col>
      <xdr:colOff>161925</xdr:colOff>
      <xdr:row>10</xdr:row>
      <xdr:rowOff>0</xdr:rowOff>
    </xdr:from>
    <xdr:to>
      <xdr:col>246</xdr:col>
      <xdr:colOff>333375</xdr:colOff>
      <xdr:row>33</xdr:row>
      <xdr:rowOff>66675</xdr:rowOff>
    </xdr:to>
    <xdr:pic>
      <xdr:nvPicPr>
        <xdr:cNvPr id="44" name="図形 43"/>
        <xdr:cNvPicPr>
          <a:picLocks noChangeAspect="1"/>
        </xdr:cNvPicPr>
      </xdr:nvPicPr>
      <xdr:blipFill>
        <a:blip r:embed="rId31"/>
        <a:stretch>
          <a:fillRect/>
        </a:stretch>
      </xdr:blipFill>
      <xdr:spPr>
        <a:xfrm>
          <a:off x="141322425" y="3048000"/>
          <a:ext cx="11134725" cy="4676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246</xdr:col>
      <xdr:colOff>390525</xdr:colOff>
      <xdr:row>10</xdr:row>
      <xdr:rowOff>0</xdr:rowOff>
    </xdr:from>
    <xdr:to>
      <xdr:col>264</xdr:col>
      <xdr:colOff>438150</xdr:colOff>
      <xdr:row>33</xdr:row>
      <xdr:rowOff>57150</xdr:rowOff>
    </xdr:to>
    <xdr:pic>
      <xdr:nvPicPr>
        <xdr:cNvPr id="45" name="図形 44"/>
        <xdr:cNvPicPr>
          <a:picLocks noChangeAspect="1"/>
        </xdr:cNvPicPr>
      </xdr:nvPicPr>
      <xdr:blipFill>
        <a:blip r:embed="rId32"/>
        <a:stretch>
          <a:fillRect/>
        </a:stretch>
      </xdr:blipFill>
      <xdr:spPr>
        <a:xfrm>
          <a:off x="152514300" y="3048000"/>
          <a:ext cx="11191875" cy="4667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265</xdr:col>
      <xdr:colOff>0</xdr:colOff>
      <xdr:row>10</xdr:row>
      <xdr:rowOff>0</xdr:rowOff>
    </xdr:from>
    <xdr:to>
      <xdr:col>283</xdr:col>
      <xdr:colOff>38100</xdr:colOff>
      <xdr:row>33</xdr:row>
      <xdr:rowOff>57150</xdr:rowOff>
    </xdr:to>
    <xdr:pic>
      <xdr:nvPicPr>
        <xdr:cNvPr id="46" name="図形 45"/>
        <xdr:cNvPicPr>
          <a:picLocks noChangeAspect="1"/>
        </xdr:cNvPicPr>
      </xdr:nvPicPr>
      <xdr:blipFill>
        <a:blip r:embed="rId33"/>
        <a:stretch>
          <a:fillRect/>
        </a:stretch>
      </xdr:blipFill>
      <xdr:spPr>
        <a:xfrm>
          <a:off x="163887150" y="3048000"/>
          <a:ext cx="11182350" cy="46672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283</xdr:col>
      <xdr:colOff>47625</xdr:colOff>
      <xdr:row>10</xdr:row>
      <xdr:rowOff>0</xdr:rowOff>
    </xdr:from>
    <xdr:to>
      <xdr:col>301</xdr:col>
      <xdr:colOff>66675</xdr:colOff>
      <xdr:row>33</xdr:row>
      <xdr:rowOff>66675</xdr:rowOff>
    </xdr:to>
    <xdr:pic>
      <xdr:nvPicPr>
        <xdr:cNvPr id="47" name="図形 46"/>
        <xdr:cNvPicPr>
          <a:picLocks noChangeAspect="1"/>
        </xdr:cNvPicPr>
      </xdr:nvPicPr>
      <xdr:blipFill>
        <a:blip r:embed="rId34"/>
        <a:stretch>
          <a:fillRect/>
        </a:stretch>
      </xdr:blipFill>
      <xdr:spPr>
        <a:xfrm>
          <a:off x="175079025" y="3048000"/>
          <a:ext cx="11163300" cy="46767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296</xdr:col>
      <xdr:colOff>339725</xdr:colOff>
      <xdr:row>10</xdr:row>
      <xdr:rowOff>0</xdr:rowOff>
    </xdr:from>
    <xdr:to>
      <xdr:col>304</xdr:col>
      <xdr:colOff>339725</xdr:colOff>
      <xdr:row>33</xdr:row>
      <xdr:rowOff>76200</xdr:rowOff>
    </xdr:to>
    <xdr:pic>
      <xdr:nvPicPr>
        <xdr:cNvPr id="48" name="図形 47"/>
        <xdr:cNvPicPr>
          <a:picLocks noChangeAspect="1"/>
        </xdr:cNvPicPr>
      </xdr:nvPicPr>
      <xdr:blipFill>
        <a:blip r:embed="rId35"/>
        <a:stretch>
          <a:fillRect/>
        </a:stretch>
      </xdr:blipFill>
      <xdr:spPr>
        <a:xfrm>
          <a:off x="183419750" y="3048000"/>
          <a:ext cx="4953000" cy="46863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B157"/>
  <sheetViews>
    <sheetView tabSelected="1" zoomScale="70" zoomScaleNormal="70" workbookViewId="0">
      <pane xSplit="1" ySplit="19" topLeftCell="B150" activePane="bottomRight" state="frozen"/>
      <selection/>
      <selection pane="topRight"/>
      <selection pane="bottomLeft"/>
      <selection pane="bottomRight" activeCell="M155" sqref="M155"/>
    </sheetView>
  </sheetViews>
  <sheetFormatPr defaultColWidth="9" defaultRowHeight="18.75"/>
  <cols>
    <col min="1" max="1" width="4.875" customWidth="1"/>
    <col min="2" max="2" width="13.2083333333333" customWidth="1"/>
    <col min="3" max="3" width="8.74166666666667" customWidth="1"/>
    <col min="4" max="4" width="10.625" customWidth="1"/>
    <col min="5" max="9" width="8.25833333333333" customWidth="1"/>
    <col min="10" max="10" width="9.875" customWidth="1"/>
    <col min="11" max="12" width="9" customWidth="1"/>
    <col min="13" max="13" width="10.175" customWidth="1"/>
    <col min="14" max="14" width="11.25" customWidth="1"/>
    <col min="15" max="17" width="7.75" customWidth="1"/>
    <col min="18" max="19" width="8.625" customWidth="1"/>
    <col min="20" max="22" width="7.75" customWidth="1"/>
    <col min="23" max="24" width="8.625" customWidth="1"/>
    <col min="25" max="25" width="36.6" customWidth="1"/>
    <col min="26" max="26" width="20.7083333333333" customWidth="1"/>
    <col min="27" max="27" width="77.1416666666667" customWidth="1"/>
  </cols>
  <sheetData>
    <row r="1" spans="1:3">
      <c r="A1" s="26" t="s">
        <v>0</v>
      </c>
      <c r="C1" t="s">
        <v>1</v>
      </c>
    </row>
    <row r="2" spans="1:3">
      <c r="A2" s="26" t="s">
        <v>2</v>
      </c>
      <c r="C2" t="s">
        <v>3</v>
      </c>
    </row>
    <row r="3" spans="1:3">
      <c r="A3" s="26" t="s">
        <v>4</v>
      </c>
      <c r="C3" s="27">
        <v>100000</v>
      </c>
    </row>
    <row r="4" spans="1:9">
      <c r="A4" s="26" t="s">
        <v>5</v>
      </c>
      <c r="C4" s="28">
        <v>1</v>
      </c>
      <c r="D4" s="29" t="s">
        <v>6</v>
      </c>
      <c r="E4" s="30"/>
      <c r="F4" s="30"/>
      <c r="G4" s="30"/>
      <c r="H4" s="30"/>
      <c r="I4" s="30"/>
    </row>
    <row r="5" spans="1:9">
      <c r="A5" s="26"/>
      <c r="C5" s="28">
        <v>1</v>
      </c>
      <c r="D5" s="29" t="s">
        <v>7</v>
      </c>
      <c r="E5" s="30"/>
      <c r="F5" s="30"/>
      <c r="G5" s="30"/>
      <c r="H5" s="30"/>
      <c r="I5" s="30"/>
    </row>
    <row r="6" spans="1:9">
      <c r="A6" s="26"/>
      <c r="C6" s="28">
        <v>1</v>
      </c>
      <c r="D6" s="29" t="s">
        <v>8</v>
      </c>
      <c r="E6" s="30"/>
      <c r="F6" s="30"/>
      <c r="G6" s="30"/>
      <c r="H6" s="30"/>
      <c r="I6" s="30"/>
    </row>
    <row r="7" spans="1:9">
      <c r="A7" s="26"/>
      <c r="C7" s="28">
        <v>1</v>
      </c>
      <c r="D7" s="29" t="s">
        <v>9</v>
      </c>
      <c r="E7" s="30"/>
      <c r="F7" s="30"/>
      <c r="G7" s="30"/>
      <c r="H7" s="30"/>
      <c r="I7" s="30"/>
    </row>
    <row r="8" spans="1:9">
      <c r="A8" s="26"/>
      <c r="C8" s="28">
        <v>1</v>
      </c>
      <c r="D8" s="29" t="s">
        <v>10</v>
      </c>
      <c r="E8" s="30"/>
      <c r="F8" s="30"/>
      <c r="G8" s="30"/>
      <c r="H8" s="30"/>
      <c r="I8" s="30"/>
    </row>
    <row r="9" spans="1:9">
      <c r="A9" s="26"/>
      <c r="C9" s="28">
        <v>1</v>
      </c>
      <c r="D9" s="29" t="s">
        <v>11</v>
      </c>
      <c r="E9" s="30"/>
      <c r="F9" s="30"/>
      <c r="G9" s="30"/>
      <c r="H9" s="30"/>
      <c r="I9" s="30"/>
    </row>
    <row r="10" spans="1:9">
      <c r="A10" s="26"/>
      <c r="C10" s="28">
        <v>1</v>
      </c>
      <c r="D10" s="29" t="s">
        <v>12</v>
      </c>
      <c r="E10" s="30"/>
      <c r="F10" s="30"/>
      <c r="G10" s="30"/>
      <c r="H10" s="30"/>
      <c r="I10" s="30"/>
    </row>
    <row r="11" spans="1:9">
      <c r="A11" s="26"/>
      <c r="C11" s="28">
        <v>1</v>
      </c>
      <c r="D11" s="29" t="s">
        <v>13</v>
      </c>
      <c r="E11" s="30"/>
      <c r="F11" s="30"/>
      <c r="G11" s="30"/>
      <c r="H11" s="30"/>
      <c r="I11" s="30"/>
    </row>
    <row r="12" spans="1:9">
      <c r="A12" s="26" t="s">
        <v>14</v>
      </c>
      <c r="C12" s="28"/>
      <c r="D12" s="31" t="s">
        <v>15</v>
      </c>
      <c r="E12" s="30"/>
      <c r="F12" s="30"/>
      <c r="G12" s="30"/>
      <c r="H12" s="30"/>
      <c r="I12" s="30"/>
    </row>
    <row r="13" spans="1:9">
      <c r="A13" s="26"/>
      <c r="C13" s="32"/>
      <c r="D13" s="31" t="s">
        <v>16</v>
      </c>
      <c r="E13" s="30"/>
      <c r="F13" s="30"/>
      <c r="G13" s="30"/>
      <c r="H13" s="30"/>
      <c r="I13" s="30"/>
    </row>
    <row r="14" spans="1:9">
      <c r="A14" s="26"/>
      <c r="C14" s="28"/>
      <c r="D14" s="31" t="s">
        <v>17</v>
      </c>
      <c r="E14" s="30"/>
      <c r="F14" s="30"/>
      <c r="G14" s="30"/>
      <c r="H14" s="30"/>
      <c r="I14" s="30"/>
    </row>
    <row r="15" spans="1:9">
      <c r="A15" s="26"/>
      <c r="D15" s="30"/>
      <c r="E15" s="25" t="s">
        <v>18</v>
      </c>
      <c r="F15" s="30"/>
      <c r="G15" s="30"/>
      <c r="H15" s="30"/>
      <c r="I15" s="30"/>
    </row>
    <row r="16" ht="19.5" spans="1:4">
      <c r="A16" s="26"/>
      <c r="D16" s="27"/>
    </row>
    <row r="17" ht="19.5" spans="1:27">
      <c r="A17" s="33" t="s">
        <v>19</v>
      </c>
      <c r="B17" s="33" t="s">
        <v>20</v>
      </c>
      <c r="C17" s="34" t="s">
        <v>21</v>
      </c>
      <c r="D17" s="33" t="s">
        <v>20</v>
      </c>
      <c r="E17" s="35" t="s">
        <v>22</v>
      </c>
      <c r="F17" s="36"/>
      <c r="G17" s="36"/>
      <c r="H17" s="37" t="s">
        <v>23</v>
      </c>
      <c r="I17" s="83"/>
      <c r="J17" s="84" t="s">
        <v>24</v>
      </c>
      <c r="K17" s="84"/>
      <c r="L17" s="84"/>
      <c r="M17" s="84"/>
      <c r="N17" s="84"/>
      <c r="O17" s="85" t="s">
        <v>25</v>
      </c>
      <c r="P17" s="84"/>
      <c r="Q17" s="84"/>
      <c r="R17" s="84"/>
      <c r="S17" s="84"/>
      <c r="T17" s="85" t="s">
        <v>26</v>
      </c>
      <c r="U17" s="84"/>
      <c r="V17" s="84"/>
      <c r="W17" s="84"/>
      <c r="X17" s="113"/>
      <c r="Y17" s="124" t="s">
        <v>27</v>
      </c>
      <c r="Z17" s="124" t="s">
        <v>28</v>
      </c>
      <c r="AA17" s="125" t="s">
        <v>29</v>
      </c>
    </row>
    <row r="18" ht="34" customHeight="1" spans="1:27">
      <c r="A18" s="38"/>
      <c r="B18" s="38" t="s">
        <v>30</v>
      </c>
      <c r="C18" s="39"/>
      <c r="D18" s="40" t="s">
        <v>31</v>
      </c>
      <c r="E18" s="41">
        <v>1.27</v>
      </c>
      <c r="F18" s="42">
        <v>1.5</v>
      </c>
      <c r="G18" s="42">
        <v>2</v>
      </c>
      <c r="H18" s="43" t="s">
        <v>32</v>
      </c>
      <c r="I18" s="86" t="s">
        <v>33</v>
      </c>
      <c r="J18" s="42">
        <v>1.27</v>
      </c>
      <c r="K18" s="42">
        <v>1.5</v>
      </c>
      <c r="L18" s="42">
        <v>2</v>
      </c>
      <c r="M18" s="43" t="s">
        <v>34</v>
      </c>
      <c r="N18" s="86" t="s">
        <v>35</v>
      </c>
      <c r="O18" s="41">
        <v>1.27</v>
      </c>
      <c r="P18" s="42">
        <v>1.5</v>
      </c>
      <c r="Q18" s="42">
        <v>2</v>
      </c>
      <c r="R18" s="43" t="s">
        <v>34</v>
      </c>
      <c r="S18" s="86" t="s">
        <v>35</v>
      </c>
      <c r="T18" s="114">
        <v>1.27</v>
      </c>
      <c r="U18" s="115">
        <v>1.5</v>
      </c>
      <c r="V18" s="115">
        <v>2</v>
      </c>
      <c r="W18" s="116" t="s">
        <v>34</v>
      </c>
      <c r="X18" s="117" t="s">
        <v>35</v>
      </c>
      <c r="Y18" s="126"/>
      <c r="Z18" s="126"/>
      <c r="AA18" s="127"/>
    </row>
    <row r="19" ht="19.5" spans="1:27">
      <c r="A19" s="44" t="s">
        <v>36</v>
      </c>
      <c r="B19" s="45"/>
      <c r="C19" s="45"/>
      <c r="D19" s="46"/>
      <c r="E19" s="41"/>
      <c r="F19" s="42"/>
      <c r="G19" s="42"/>
      <c r="H19" s="42"/>
      <c r="I19" s="87"/>
      <c r="J19" s="88">
        <f>C3</f>
        <v>100000</v>
      </c>
      <c r="K19" s="89">
        <f>C3</f>
        <v>100000</v>
      </c>
      <c r="L19" s="89">
        <f>C3</f>
        <v>100000</v>
      </c>
      <c r="M19" s="89">
        <f>C3</f>
        <v>100000</v>
      </c>
      <c r="N19" s="89">
        <f>C3</f>
        <v>100000</v>
      </c>
      <c r="O19" s="90" t="s">
        <v>25</v>
      </c>
      <c r="P19" s="91"/>
      <c r="Q19" s="91"/>
      <c r="R19" s="91"/>
      <c r="S19" s="91"/>
      <c r="T19" s="90"/>
      <c r="U19" s="91"/>
      <c r="V19" s="91"/>
      <c r="W19" s="91"/>
      <c r="X19" s="118"/>
      <c r="Y19" s="128"/>
      <c r="Z19" s="128"/>
      <c r="AA19" s="129"/>
    </row>
    <row r="20" s="21" customFormat="1" spans="1:28">
      <c r="A20" s="47">
        <v>1</v>
      </c>
      <c r="B20" s="48">
        <v>43906</v>
      </c>
      <c r="C20" s="49">
        <f>C9</f>
        <v>1</v>
      </c>
      <c r="D20" s="50">
        <v>2</v>
      </c>
      <c r="E20" s="51">
        <f t="shared" ref="E20:E23" si="0">1.27*C20</f>
        <v>1.27</v>
      </c>
      <c r="F20" s="52">
        <f t="shared" ref="F20:F23" si="1">1.5*C20</f>
        <v>1.5</v>
      </c>
      <c r="G20" s="52">
        <f t="shared" ref="G20:G23" si="2">2*C20</f>
        <v>2</v>
      </c>
      <c r="H20" s="53">
        <f>(1.083-1.1188)/(1.1188-1.1237)*C20</f>
        <v>7.30612244897975</v>
      </c>
      <c r="I20" s="92">
        <f>(1.0775-1.1188)/(1.1188-1.1237)*C20</f>
        <v>8.42857142857162</v>
      </c>
      <c r="J20" s="93">
        <f t="shared" ref="J20:N20" si="3">IF(E20="","",J19+T20)</f>
        <v>103810</v>
      </c>
      <c r="K20" s="93">
        <f t="shared" ref="K20:M20" si="4">IF(F20="","",K19+U20)</f>
        <v>104500</v>
      </c>
      <c r="L20" s="93">
        <f t="shared" si="4"/>
        <v>106000</v>
      </c>
      <c r="M20" s="93">
        <f t="shared" si="3"/>
        <v>121918.367346939</v>
      </c>
      <c r="N20" s="93">
        <f t="shared" si="3"/>
        <v>125285.714285715</v>
      </c>
      <c r="O20" s="94">
        <f t="shared" ref="O20:S20" si="5">IF(J19="","",J19*0.03)</f>
        <v>3000</v>
      </c>
      <c r="P20" s="95">
        <f t="shared" si="5"/>
        <v>3000</v>
      </c>
      <c r="Q20" s="95">
        <f t="shared" si="5"/>
        <v>3000</v>
      </c>
      <c r="R20" s="95">
        <f t="shared" si="5"/>
        <v>3000</v>
      </c>
      <c r="S20" s="95">
        <f t="shared" si="5"/>
        <v>3000</v>
      </c>
      <c r="T20" s="94">
        <f t="shared" ref="T20:X20" si="6">IF(E20="","",O20*E20)</f>
        <v>3810</v>
      </c>
      <c r="U20" s="95">
        <f t="shared" si="6"/>
        <v>4500</v>
      </c>
      <c r="V20" s="95">
        <f t="shared" si="6"/>
        <v>6000</v>
      </c>
      <c r="W20" s="95">
        <f t="shared" si="6"/>
        <v>21918.3673469392</v>
      </c>
      <c r="X20" s="119">
        <f t="shared" si="6"/>
        <v>25285.7142857149</v>
      </c>
      <c r="Y20" s="130"/>
      <c r="Z20" s="130"/>
      <c r="AA20" s="131"/>
      <c r="AB20" s="132"/>
    </row>
    <row r="21" s="21" customFormat="1" spans="1:28">
      <c r="A21" s="47">
        <v>2</v>
      </c>
      <c r="B21" s="48">
        <v>43908</v>
      </c>
      <c r="C21" s="49">
        <f>C10</f>
        <v>1</v>
      </c>
      <c r="D21" s="50">
        <v>2</v>
      </c>
      <c r="E21" s="51">
        <f t="shared" si="0"/>
        <v>1.27</v>
      </c>
      <c r="F21" s="52">
        <f t="shared" si="1"/>
        <v>1.5</v>
      </c>
      <c r="G21" s="52">
        <f t="shared" si="2"/>
        <v>2</v>
      </c>
      <c r="H21" s="53">
        <f>(1.083-1.1019)/(1.1019-1.1046)*C21</f>
        <v>7.00000000000025</v>
      </c>
      <c r="I21" s="92">
        <f>(1.083-1.1019)/(1.1019-1.1046)*C21</f>
        <v>7.00000000000025</v>
      </c>
      <c r="J21" s="93">
        <f t="shared" ref="J21:N21" si="7">IF(E21="","",J20+T21)</f>
        <v>107765.161</v>
      </c>
      <c r="K21" s="93">
        <f t="shared" si="7"/>
        <v>109202.5</v>
      </c>
      <c r="L21" s="93">
        <f t="shared" si="7"/>
        <v>112360</v>
      </c>
      <c r="M21" s="93">
        <f t="shared" si="7"/>
        <v>147521.224489797</v>
      </c>
      <c r="N21" s="93">
        <f t="shared" si="7"/>
        <v>151595.714285716</v>
      </c>
      <c r="O21" s="94">
        <f t="shared" ref="O21:S21" si="8">IF(J20="","",J20*0.03)</f>
        <v>3114.3</v>
      </c>
      <c r="P21" s="95">
        <f t="shared" si="8"/>
        <v>3135</v>
      </c>
      <c r="Q21" s="95">
        <f t="shared" si="8"/>
        <v>3180</v>
      </c>
      <c r="R21" s="95">
        <f t="shared" si="8"/>
        <v>3657.55102040818</v>
      </c>
      <c r="S21" s="95">
        <f t="shared" si="8"/>
        <v>3758.57142857145</v>
      </c>
      <c r="T21" s="94">
        <f t="shared" ref="T21:X21" si="9">IF(E21="","",O21*E21)</f>
        <v>3955.161</v>
      </c>
      <c r="U21" s="95">
        <f t="shared" si="9"/>
        <v>4702.5</v>
      </c>
      <c r="V21" s="95">
        <f t="shared" si="9"/>
        <v>6360</v>
      </c>
      <c r="W21" s="95">
        <f t="shared" si="9"/>
        <v>25602.8571428581</v>
      </c>
      <c r="X21" s="119">
        <f t="shared" si="9"/>
        <v>26310.000000001</v>
      </c>
      <c r="Y21" s="130"/>
      <c r="Z21" s="130"/>
      <c r="AA21" s="131"/>
      <c r="AB21" s="132"/>
    </row>
    <row r="22" spans="1:28">
      <c r="A22" s="54">
        <v>3</v>
      </c>
      <c r="B22" s="55">
        <v>43910</v>
      </c>
      <c r="C22" s="56">
        <f>C10</f>
        <v>1</v>
      </c>
      <c r="D22" s="57">
        <v>2</v>
      </c>
      <c r="E22" s="58">
        <f t="shared" si="0"/>
        <v>1.27</v>
      </c>
      <c r="F22" s="59">
        <f t="shared" si="1"/>
        <v>1.5</v>
      </c>
      <c r="G22" s="59">
        <f t="shared" si="2"/>
        <v>2</v>
      </c>
      <c r="H22" s="60">
        <f>0*C22</f>
        <v>0</v>
      </c>
      <c r="I22" s="96">
        <f>0*C22</f>
        <v>0</v>
      </c>
      <c r="J22" s="97">
        <f t="shared" ref="J22:N22" si="10">IF(E22="","",J21+T22)</f>
        <v>111871.0136341</v>
      </c>
      <c r="K22" s="97">
        <f t="shared" si="10"/>
        <v>114116.6125</v>
      </c>
      <c r="L22" s="97">
        <f t="shared" si="10"/>
        <v>119101.6</v>
      </c>
      <c r="M22" s="97">
        <f t="shared" si="10"/>
        <v>147521.224489797</v>
      </c>
      <c r="N22" s="97">
        <f t="shared" si="10"/>
        <v>151595.714285716</v>
      </c>
      <c r="O22" s="98">
        <f t="shared" ref="O22:S22" si="11">IF(J21="","",J21*0.03)</f>
        <v>3232.95483</v>
      </c>
      <c r="P22" s="99">
        <f t="shared" si="11"/>
        <v>3276.075</v>
      </c>
      <c r="Q22" s="99">
        <f t="shared" si="11"/>
        <v>3370.8</v>
      </c>
      <c r="R22" s="99">
        <f t="shared" si="11"/>
        <v>4425.63673469392</v>
      </c>
      <c r="S22" s="99">
        <f t="shared" si="11"/>
        <v>4547.87142857148</v>
      </c>
      <c r="T22" s="98">
        <f t="shared" ref="T22:X22" si="12">IF(E22="","",O22*E22)</f>
        <v>4105.8526341</v>
      </c>
      <c r="U22" s="99">
        <f t="shared" si="12"/>
        <v>4914.1125</v>
      </c>
      <c r="V22" s="99">
        <f t="shared" si="12"/>
        <v>6741.6</v>
      </c>
      <c r="W22" s="99">
        <f t="shared" si="12"/>
        <v>0</v>
      </c>
      <c r="X22" s="120">
        <f t="shared" si="12"/>
        <v>0</v>
      </c>
      <c r="Y22" s="133"/>
      <c r="Z22" s="133"/>
      <c r="AA22" s="134"/>
      <c r="AB22" s="135"/>
    </row>
    <row r="23" s="21" customFormat="1" ht="36" spans="1:28">
      <c r="A23" s="47">
        <v>4</v>
      </c>
      <c r="B23" s="48">
        <v>43913</v>
      </c>
      <c r="C23" s="49">
        <f>C4</f>
        <v>1</v>
      </c>
      <c r="D23" s="50">
        <v>1</v>
      </c>
      <c r="E23" s="51">
        <f t="shared" si="0"/>
        <v>1.27</v>
      </c>
      <c r="F23" s="52">
        <f t="shared" si="1"/>
        <v>1.5</v>
      </c>
      <c r="G23" s="52">
        <f t="shared" si="2"/>
        <v>2</v>
      </c>
      <c r="H23" s="53">
        <f>(1.0773-1.07)/(1.07-1.0632)*C23</f>
        <v>1.07352941176466</v>
      </c>
      <c r="I23" s="92">
        <f>(1.0989-1.07)/(1.07-1.0632)*C23</f>
        <v>4.2499999999999</v>
      </c>
      <c r="J23" s="93">
        <f t="shared" ref="J23:N23" si="13">IF(E23="","",J22+T23)</f>
        <v>116133.299253559</v>
      </c>
      <c r="K23" s="93">
        <f t="shared" si="13"/>
        <v>119251.8600625</v>
      </c>
      <c r="L23" s="93">
        <f t="shared" si="13"/>
        <v>126247.696</v>
      </c>
      <c r="M23" s="93">
        <f t="shared" si="13"/>
        <v>152272.275690277</v>
      </c>
      <c r="N23" s="93">
        <f t="shared" si="13"/>
        <v>170924.167857144</v>
      </c>
      <c r="O23" s="94">
        <f t="shared" ref="O23:S23" si="14">IF(J22="","",J22*0.03)</f>
        <v>3356.130409023</v>
      </c>
      <c r="P23" s="95">
        <f t="shared" si="14"/>
        <v>3423.498375</v>
      </c>
      <c r="Q23" s="95">
        <f t="shared" si="14"/>
        <v>3573.048</v>
      </c>
      <c r="R23" s="95">
        <f t="shared" si="14"/>
        <v>4425.63673469392</v>
      </c>
      <c r="S23" s="95">
        <f t="shared" si="14"/>
        <v>4547.87142857148</v>
      </c>
      <c r="T23" s="94">
        <f t="shared" ref="T23:X23" si="15">IF(E23="","",O23*E23)</f>
        <v>4262.28561945921</v>
      </c>
      <c r="U23" s="95">
        <f t="shared" si="15"/>
        <v>5135.2475625</v>
      </c>
      <c r="V23" s="95">
        <f t="shared" si="15"/>
        <v>7146.096</v>
      </c>
      <c r="W23" s="95">
        <f t="shared" si="15"/>
        <v>4751.05120048005</v>
      </c>
      <c r="X23" s="119">
        <f t="shared" si="15"/>
        <v>19328.4535714283</v>
      </c>
      <c r="Y23" s="136" t="s">
        <v>37</v>
      </c>
      <c r="Z23" s="137" t="s">
        <v>38</v>
      </c>
      <c r="AA23" s="138"/>
      <c r="AB23" s="132"/>
    </row>
    <row r="24" s="22" customFormat="1" spans="1:28">
      <c r="A24" s="61">
        <v>5</v>
      </c>
      <c r="B24" s="62">
        <v>43913</v>
      </c>
      <c r="C24" s="63">
        <f>C10</f>
        <v>1</v>
      </c>
      <c r="D24" s="64">
        <v>2</v>
      </c>
      <c r="E24" s="65">
        <f t="shared" ref="E23:E25" si="16">-1*C24</f>
        <v>-1</v>
      </c>
      <c r="F24" s="66">
        <f t="shared" ref="F23:F25" si="17">-1*C24</f>
        <v>-1</v>
      </c>
      <c r="G24" s="66">
        <f t="shared" ref="G23:G25" si="18">-1*C24</f>
        <v>-1</v>
      </c>
      <c r="H24" s="67">
        <f t="shared" ref="H23:H25" si="19">-1*C24</f>
        <v>-1</v>
      </c>
      <c r="I24" s="100">
        <f t="shared" ref="I23:I25" si="20">-1*C24</f>
        <v>-1</v>
      </c>
      <c r="J24" s="101">
        <f t="shared" ref="J24:N24" si="21">IF(E24="","",J23+T24)</f>
        <v>112649.300275952</v>
      </c>
      <c r="K24" s="101">
        <f t="shared" si="21"/>
        <v>115674.304260625</v>
      </c>
      <c r="L24" s="101">
        <f t="shared" si="21"/>
        <v>122460.26512</v>
      </c>
      <c r="M24" s="101">
        <f t="shared" si="21"/>
        <v>147704.107419569</v>
      </c>
      <c r="N24" s="101">
        <f t="shared" si="21"/>
        <v>165796.44282143</v>
      </c>
      <c r="O24" s="102">
        <f>IF(J23="","",J23*0.03)</f>
        <v>3483.99897760678</v>
      </c>
      <c r="P24" s="103">
        <f t="shared" ref="O24:S24" si="22">IF(K23="","",K23*0.03)</f>
        <v>3577.555801875</v>
      </c>
      <c r="Q24" s="103">
        <f t="shared" si="22"/>
        <v>3787.43088</v>
      </c>
      <c r="R24" s="103">
        <f t="shared" si="22"/>
        <v>4568.16827070832</v>
      </c>
      <c r="S24" s="103">
        <f t="shared" si="22"/>
        <v>5127.72503571433</v>
      </c>
      <c r="T24" s="102">
        <f t="shared" ref="T24:X24" si="23">IF(E24="","",O24*E24)</f>
        <v>-3483.99897760678</v>
      </c>
      <c r="U24" s="103">
        <f t="shared" si="23"/>
        <v>-3577.555801875</v>
      </c>
      <c r="V24" s="103">
        <f t="shared" si="23"/>
        <v>-3787.43088</v>
      </c>
      <c r="W24" s="103">
        <f t="shared" si="23"/>
        <v>-4568.16827070832</v>
      </c>
      <c r="X24" s="121">
        <f t="shared" si="23"/>
        <v>-5127.72503571433</v>
      </c>
      <c r="Y24" s="139"/>
      <c r="Z24" s="139"/>
      <c r="AA24" s="140" t="s">
        <v>39</v>
      </c>
      <c r="AB24" s="141"/>
    </row>
    <row r="25" s="22" customFormat="1" spans="1:28">
      <c r="A25" s="61">
        <v>6</v>
      </c>
      <c r="B25" s="62">
        <v>43913</v>
      </c>
      <c r="C25" s="63">
        <f>C10</f>
        <v>1</v>
      </c>
      <c r="D25" s="64">
        <v>2</v>
      </c>
      <c r="E25" s="65">
        <f t="shared" si="16"/>
        <v>-1</v>
      </c>
      <c r="F25" s="66">
        <f t="shared" si="17"/>
        <v>-1</v>
      </c>
      <c r="G25" s="66">
        <f t="shared" si="18"/>
        <v>-1</v>
      </c>
      <c r="H25" s="67">
        <f t="shared" si="19"/>
        <v>-1</v>
      </c>
      <c r="I25" s="100">
        <f t="shared" si="20"/>
        <v>-1</v>
      </c>
      <c r="J25" s="101">
        <f t="shared" ref="J25:N25" si="24">IF(E25="","",J24+T25)</f>
        <v>109269.821267674</v>
      </c>
      <c r="K25" s="101">
        <f t="shared" si="24"/>
        <v>112204.075132806</v>
      </c>
      <c r="L25" s="101">
        <f t="shared" si="24"/>
        <v>118786.4571664</v>
      </c>
      <c r="M25" s="101">
        <f t="shared" si="24"/>
        <v>143272.984196982</v>
      </c>
      <c r="N25" s="101">
        <f t="shared" si="24"/>
        <v>160822.549536787</v>
      </c>
      <c r="O25" s="102">
        <f t="shared" ref="O25:S25" si="25">IF(J24="","",J24*0.03)</f>
        <v>3379.47900827857</v>
      </c>
      <c r="P25" s="103">
        <f t="shared" si="25"/>
        <v>3470.22912781875</v>
      </c>
      <c r="Q25" s="103">
        <f t="shared" si="25"/>
        <v>3673.8079536</v>
      </c>
      <c r="R25" s="103">
        <f t="shared" si="25"/>
        <v>4431.12322258707</v>
      </c>
      <c r="S25" s="103">
        <f t="shared" si="25"/>
        <v>4973.8932846429</v>
      </c>
      <c r="T25" s="102">
        <f t="shared" ref="T25:X25" si="26">IF(E25="","",O25*E25)</f>
        <v>-3379.47900827857</v>
      </c>
      <c r="U25" s="103">
        <f t="shared" si="26"/>
        <v>-3470.22912781875</v>
      </c>
      <c r="V25" s="103">
        <f t="shared" si="26"/>
        <v>-3673.8079536</v>
      </c>
      <c r="W25" s="103">
        <f t="shared" si="26"/>
        <v>-4431.12322258707</v>
      </c>
      <c r="X25" s="121">
        <f t="shared" si="26"/>
        <v>-4973.8932846429</v>
      </c>
      <c r="Y25" s="139"/>
      <c r="Z25" s="139"/>
      <c r="AA25" s="140" t="s">
        <v>39</v>
      </c>
      <c r="AB25" s="141"/>
    </row>
    <row r="26" ht="37.5" spans="1:28">
      <c r="A26" s="54"/>
      <c r="B26" s="55">
        <v>43914</v>
      </c>
      <c r="C26" s="56"/>
      <c r="D26" s="57"/>
      <c r="E26" s="58"/>
      <c r="F26" s="59"/>
      <c r="G26" s="59"/>
      <c r="H26" s="60"/>
      <c r="I26" s="96"/>
      <c r="J26" s="97"/>
      <c r="K26" s="97"/>
      <c r="L26" s="97"/>
      <c r="M26" s="97"/>
      <c r="N26" s="97"/>
      <c r="O26" s="98"/>
      <c r="P26" s="99"/>
      <c r="Q26" s="99"/>
      <c r="R26" s="99"/>
      <c r="S26" s="99"/>
      <c r="T26" s="98"/>
      <c r="U26" s="99"/>
      <c r="V26" s="99"/>
      <c r="W26" s="99"/>
      <c r="X26" s="120"/>
      <c r="Y26" s="142" t="s">
        <v>40</v>
      </c>
      <c r="Z26" s="142" t="s">
        <v>41</v>
      </c>
      <c r="AA26" s="143"/>
      <c r="AB26" s="135"/>
    </row>
    <row r="27" s="21" customFormat="1" spans="1:28">
      <c r="A27" s="47">
        <v>7</v>
      </c>
      <c r="B27" s="48">
        <v>43914</v>
      </c>
      <c r="C27" s="49">
        <f>C7</f>
        <v>1</v>
      </c>
      <c r="D27" s="50">
        <v>1</v>
      </c>
      <c r="E27" s="51">
        <f>1.27*C27</f>
        <v>1.27</v>
      </c>
      <c r="F27" s="52">
        <f>1.5*C27</f>
        <v>1.5</v>
      </c>
      <c r="G27" s="52">
        <f>2*C27</f>
        <v>2</v>
      </c>
      <c r="H27" s="53">
        <f>(1.0989-1.0775)/(1.0775-1.0744)*C27</f>
        <v>6.90322580645191</v>
      </c>
      <c r="I27" s="92">
        <f>(1.0989-1.0775)/(1.0775-1.0744)*C27</f>
        <v>6.90322580645191</v>
      </c>
      <c r="J27" s="93">
        <f t="shared" ref="J27:N27" si="27">IF(E27="","",J25+T27)</f>
        <v>113433.001457972</v>
      </c>
      <c r="K27" s="93">
        <f t="shared" si="27"/>
        <v>117253.258513783</v>
      </c>
      <c r="L27" s="93">
        <f t="shared" si="27"/>
        <v>125913.644596384</v>
      </c>
      <c r="M27" s="93">
        <f t="shared" si="27"/>
        <v>172944.357053262</v>
      </c>
      <c r="N27" s="93">
        <f t="shared" si="27"/>
        <v>194128.380763439</v>
      </c>
      <c r="O27" s="94">
        <f t="shared" ref="O27:S27" si="28">IF(J25="","",J25*0.03)</f>
        <v>3278.09463803022</v>
      </c>
      <c r="P27" s="95">
        <f t="shared" si="28"/>
        <v>3366.12225398419</v>
      </c>
      <c r="Q27" s="95">
        <f t="shared" si="28"/>
        <v>3563.593714992</v>
      </c>
      <c r="R27" s="95">
        <f t="shared" si="28"/>
        <v>4298.18952590946</v>
      </c>
      <c r="S27" s="95">
        <f t="shared" si="28"/>
        <v>4824.67648610361</v>
      </c>
      <c r="T27" s="94">
        <f t="shared" ref="T27:X27" si="29">IF(E27="","",O27*E27)</f>
        <v>4163.18019029837</v>
      </c>
      <c r="U27" s="95">
        <f t="shared" si="29"/>
        <v>5049.18338097628</v>
      </c>
      <c r="V27" s="95">
        <f t="shared" si="29"/>
        <v>7127.187429984</v>
      </c>
      <c r="W27" s="95">
        <f t="shared" si="29"/>
        <v>29671.3728562795</v>
      </c>
      <c r="X27" s="119">
        <f t="shared" si="29"/>
        <v>33305.8312266521</v>
      </c>
      <c r="Y27" s="137" t="s">
        <v>42</v>
      </c>
      <c r="Z27" s="137" t="s">
        <v>43</v>
      </c>
      <c r="AA27" s="138" t="s">
        <v>44</v>
      </c>
      <c r="AB27" s="132"/>
    </row>
    <row r="28" s="23" customFormat="1" spans="1:28">
      <c r="A28" s="68">
        <v>8</v>
      </c>
      <c r="B28" s="69">
        <v>43917</v>
      </c>
      <c r="C28" s="70">
        <f>C10</f>
        <v>1</v>
      </c>
      <c r="D28" s="71">
        <v>1</v>
      </c>
      <c r="E28" s="72">
        <f>-1*C28</f>
        <v>-1</v>
      </c>
      <c r="F28" s="73">
        <f>-1*C28</f>
        <v>-1</v>
      </c>
      <c r="G28" s="73">
        <f>-1*C28</f>
        <v>-1</v>
      </c>
      <c r="H28" s="74">
        <f>-1*C28</f>
        <v>-1</v>
      </c>
      <c r="I28" s="104">
        <f>-1*C28</f>
        <v>-1</v>
      </c>
      <c r="J28" s="105">
        <f t="shared" ref="J28:N28" si="30">IF(E28="","",J27+T28)</f>
        <v>110030.011414233</v>
      </c>
      <c r="K28" s="105">
        <f t="shared" si="30"/>
        <v>113735.660758369</v>
      </c>
      <c r="L28" s="105">
        <f t="shared" si="30"/>
        <v>122136.235258492</v>
      </c>
      <c r="M28" s="105">
        <f t="shared" si="30"/>
        <v>167756.026341664</v>
      </c>
      <c r="N28" s="105">
        <f t="shared" si="30"/>
        <v>188304.529340536</v>
      </c>
      <c r="O28" s="106">
        <f t="shared" ref="O28:S28" si="31">IF(J27="","",J27*0.03)</f>
        <v>3402.99004373917</v>
      </c>
      <c r="P28" s="107">
        <f t="shared" si="31"/>
        <v>3517.59775541348</v>
      </c>
      <c r="Q28" s="107">
        <f t="shared" si="31"/>
        <v>3777.40933789152</v>
      </c>
      <c r="R28" s="107">
        <f t="shared" si="31"/>
        <v>5188.33071159785</v>
      </c>
      <c r="S28" s="107">
        <f t="shared" si="31"/>
        <v>5823.85142290317</v>
      </c>
      <c r="T28" s="106">
        <f t="shared" ref="T28:X28" si="32">IF(E28="","",O28*E28)</f>
        <v>-3402.99004373917</v>
      </c>
      <c r="U28" s="107">
        <f t="shared" si="32"/>
        <v>-3517.59775541348</v>
      </c>
      <c r="V28" s="107">
        <f t="shared" si="32"/>
        <v>-3777.40933789152</v>
      </c>
      <c r="W28" s="107">
        <f t="shared" si="32"/>
        <v>-5188.33071159785</v>
      </c>
      <c r="X28" s="122">
        <f t="shared" si="32"/>
        <v>-5823.85142290317</v>
      </c>
      <c r="Y28" s="144"/>
      <c r="Z28" s="144"/>
      <c r="AA28" s="145"/>
      <c r="AB28" s="146"/>
    </row>
    <row r="29" spans="1:28">
      <c r="A29" s="54">
        <v>9</v>
      </c>
      <c r="B29" s="55">
        <v>43917</v>
      </c>
      <c r="C29" s="56">
        <f>C10</f>
        <v>1</v>
      </c>
      <c r="D29" s="57">
        <v>1</v>
      </c>
      <c r="E29" s="58">
        <f t="shared" ref="E29:E35" si="33">1.27*C29</f>
        <v>1.27</v>
      </c>
      <c r="F29" s="59">
        <f t="shared" ref="F29:F35" si="34">1.5*C29</f>
        <v>1.5</v>
      </c>
      <c r="G29" s="75">
        <f t="shared" ref="G29:G35" si="35">2*C29</f>
        <v>2</v>
      </c>
      <c r="H29" s="60">
        <f>(1.1008-1.0989)/(1.0989-1.0951)*C29</f>
        <v>0.5</v>
      </c>
      <c r="I29" s="96">
        <f>(1.1008-1.0989)/(1.0989-1.0951)*C29</f>
        <v>0.5</v>
      </c>
      <c r="J29" s="97">
        <f t="shared" ref="J29:N29" si="36">IF(E29="","",J28+T29)</f>
        <v>114222.154849115</v>
      </c>
      <c r="K29" s="97">
        <f t="shared" si="36"/>
        <v>118853.765492496</v>
      </c>
      <c r="L29" s="97">
        <f t="shared" si="36"/>
        <v>129464.409374002</v>
      </c>
      <c r="M29" s="97">
        <f t="shared" si="36"/>
        <v>170272.366736789</v>
      </c>
      <c r="N29" s="97">
        <f t="shared" si="36"/>
        <v>191129.097280644</v>
      </c>
      <c r="O29" s="98">
        <f t="shared" ref="O29:S29" si="37">IF(J28="","",J28*0.03)</f>
        <v>3300.90034242699</v>
      </c>
      <c r="P29" s="99">
        <f t="shared" si="37"/>
        <v>3412.06982275107</v>
      </c>
      <c r="Q29" s="99">
        <f t="shared" si="37"/>
        <v>3664.08705775477</v>
      </c>
      <c r="R29" s="99">
        <f t="shared" si="37"/>
        <v>5032.68079024991</v>
      </c>
      <c r="S29" s="99">
        <f t="shared" si="37"/>
        <v>5649.13588021608</v>
      </c>
      <c r="T29" s="98">
        <f t="shared" ref="T29:X29" si="38">IF(E29="","",O29*E29)</f>
        <v>4192.14343488228</v>
      </c>
      <c r="U29" s="99">
        <f t="shared" si="38"/>
        <v>5118.10473412661</v>
      </c>
      <c r="V29" s="99">
        <f t="shared" si="38"/>
        <v>7328.17411550955</v>
      </c>
      <c r="W29" s="99">
        <f t="shared" si="38"/>
        <v>2516.34039512496</v>
      </c>
      <c r="X29" s="120">
        <f t="shared" si="38"/>
        <v>2824.56794010804</v>
      </c>
      <c r="Y29" s="133"/>
      <c r="Z29" s="133"/>
      <c r="AA29" s="147"/>
      <c r="AB29" s="135"/>
    </row>
    <row r="30" s="21" customFormat="1" ht="36" spans="1:28">
      <c r="A30" s="47">
        <v>10</v>
      </c>
      <c r="B30" s="48">
        <v>43917</v>
      </c>
      <c r="C30" s="49">
        <f>C4</f>
        <v>1</v>
      </c>
      <c r="D30" s="50">
        <v>2</v>
      </c>
      <c r="E30" s="51">
        <f t="shared" si="33"/>
        <v>1.27</v>
      </c>
      <c r="F30" s="52">
        <f t="shared" si="34"/>
        <v>1.5</v>
      </c>
      <c r="G30" s="52">
        <f t="shared" si="35"/>
        <v>2</v>
      </c>
      <c r="H30" s="53">
        <f>(1.1034-1.1118)/(1.1118-1.11463)*C30</f>
        <v>2.96819787985853</v>
      </c>
      <c r="I30" s="92">
        <f>(1.0926-1.1118)/(1.1118-1.11463)*C30</f>
        <v>6.78445229681948</v>
      </c>
      <c r="J30" s="93">
        <f t="shared" ref="J30:N30" si="39">IF(E30="","",J29+T30)</f>
        <v>118574.018948867</v>
      </c>
      <c r="K30" s="93">
        <f t="shared" si="39"/>
        <v>124202.184939658</v>
      </c>
      <c r="L30" s="93">
        <f t="shared" si="39"/>
        <v>137232.273936442</v>
      </c>
      <c r="M30" s="93">
        <f t="shared" si="39"/>
        <v>185434.429075188</v>
      </c>
      <c r="N30" s="93">
        <f t="shared" si="39"/>
        <v>230030.284571685</v>
      </c>
      <c r="O30" s="94">
        <f t="shared" ref="O30:S30" si="40">IF(J29="","",J29*0.03)</f>
        <v>3426.66464547346</v>
      </c>
      <c r="P30" s="95">
        <f t="shared" si="40"/>
        <v>3565.61296477487</v>
      </c>
      <c r="Q30" s="95">
        <f t="shared" si="40"/>
        <v>3883.93228122006</v>
      </c>
      <c r="R30" s="95">
        <f t="shared" si="40"/>
        <v>5108.17100210366</v>
      </c>
      <c r="S30" s="95">
        <f t="shared" si="40"/>
        <v>5733.87291841932</v>
      </c>
      <c r="T30" s="94">
        <f t="shared" ref="T30:X30" si="41">IF(E30="","",O30*E30)</f>
        <v>4351.86409975129</v>
      </c>
      <c r="U30" s="95">
        <f t="shared" si="41"/>
        <v>5348.41944716231</v>
      </c>
      <c r="V30" s="95">
        <f t="shared" si="41"/>
        <v>7767.86456244012</v>
      </c>
      <c r="W30" s="95">
        <f t="shared" si="41"/>
        <v>15162.0623383989</v>
      </c>
      <c r="X30" s="119">
        <f t="shared" si="41"/>
        <v>38901.187291041</v>
      </c>
      <c r="Y30" s="136" t="s">
        <v>37</v>
      </c>
      <c r="Z30" s="148" t="s">
        <v>45</v>
      </c>
      <c r="AA30" s="131"/>
      <c r="AB30" s="132"/>
    </row>
    <row r="31" s="22" customFormat="1" spans="1:28">
      <c r="A31" s="61">
        <v>11</v>
      </c>
      <c r="B31" s="62">
        <v>43920</v>
      </c>
      <c r="C31" s="63">
        <f>C10</f>
        <v>1</v>
      </c>
      <c r="D31" s="64">
        <v>1</v>
      </c>
      <c r="E31" s="65">
        <f>-1*C31</f>
        <v>-1</v>
      </c>
      <c r="F31" s="66">
        <f>-1*C31</f>
        <v>-1</v>
      </c>
      <c r="G31" s="66">
        <f>-1*C31</f>
        <v>-1</v>
      </c>
      <c r="H31" s="67">
        <f>-1*C31</f>
        <v>-1</v>
      </c>
      <c r="I31" s="100">
        <f>-1*C31</f>
        <v>-1</v>
      </c>
      <c r="J31" s="101">
        <f t="shared" ref="J31:N31" si="42">IF(E31="","",J30+T31)</f>
        <v>115016.798380401</v>
      </c>
      <c r="K31" s="101">
        <f t="shared" si="42"/>
        <v>120476.119391468</v>
      </c>
      <c r="L31" s="101">
        <f t="shared" si="42"/>
        <v>133115.305718349</v>
      </c>
      <c r="M31" s="101">
        <f t="shared" si="42"/>
        <v>179871.396202932</v>
      </c>
      <c r="N31" s="101">
        <f t="shared" si="42"/>
        <v>223129.376034534</v>
      </c>
      <c r="O31" s="102">
        <f t="shared" ref="O31:S31" si="43">IF(J30="","",J30*0.03)</f>
        <v>3557.220568466</v>
      </c>
      <c r="P31" s="103">
        <f t="shared" si="43"/>
        <v>3726.06554818974</v>
      </c>
      <c r="Q31" s="103">
        <f t="shared" si="43"/>
        <v>4116.96821809327</v>
      </c>
      <c r="R31" s="103">
        <f t="shared" si="43"/>
        <v>5563.03287225563</v>
      </c>
      <c r="S31" s="103">
        <f t="shared" si="43"/>
        <v>6900.90853715055</v>
      </c>
      <c r="T31" s="102">
        <f t="shared" ref="T31:X31" si="44">IF(E31="","",O31*E31)</f>
        <v>-3557.220568466</v>
      </c>
      <c r="U31" s="103">
        <f t="shared" si="44"/>
        <v>-3726.06554818974</v>
      </c>
      <c r="V31" s="103">
        <f t="shared" si="44"/>
        <v>-4116.96821809327</v>
      </c>
      <c r="W31" s="103">
        <f t="shared" si="44"/>
        <v>-5563.03287225563</v>
      </c>
      <c r="X31" s="121">
        <f t="shared" si="44"/>
        <v>-6900.90853715055</v>
      </c>
      <c r="Y31" s="149"/>
      <c r="Z31" s="149"/>
      <c r="AA31" s="140" t="s">
        <v>39</v>
      </c>
      <c r="AB31" s="141"/>
    </row>
    <row r="32" ht="37.5" spans="1:28">
      <c r="A32" s="54"/>
      <c r="B32" s="55">
        <v>43921</v>
      </c>
      <c r="C32" s="56"/>
      <c r="D32" s="57"/>
      <c r="E32" s="58"/>
      <c r="F32" s="59"/>
      <c r="G32" s="59"/>
      <c r="H32" s="60"/>
      <c r="I32" s="96"/>
      <c r="J32" s="97"/>
      <c r="K32" s="97"/>
      <c r="L32" s="97"/>
      <c r="M32" s="97"/>
      <c r="N32" s="97"/>
      <c r="O32" s="98"/>
      <c r="P32" s="99"/>
      <c r="Q32" s="99"/>
      <c r="R32" s="99"/>
      <c r="S32" s="99"/>
      <c r="T32" s="98"/>
      <c r="U32" s="99"/>
      <c r="V32" s="99"/>
      <c r="W32" s="99"/>
      <c r="X32" s="120"/>
      <c r="Y32" s="142" t="s">
        <v>46</v>
      </c>
      <c r="Z32" s="142" t="s">
        <v>41</v>
      </c>
      <c r="AA32" s="143"/>
      <c r="AB32" s="135"/>
    </row>
    <row r="33" s="21" customFormat="1" spans="1:28">
      <c r="A33" s="47">
        <v>12</v>
      </c>
      <c r="B33" s="48">
        <v>43922</v>
      </c>
      <c r="C33" s="49">
        <f>C8</f>
        <v>1</v>
      </c>
      <c r="D33" s="50">
        <v>2</v>
      </c>
      <c r="E33" s="51">
        <f t="shared" si="33"/>
        <v>1.27</v>
      </c>
      <c r="F33" s="52">
        <f t="shared" si="34"/>
        <v>1.5</v>
      </c>
      <c r="G33" s="52">
        <f t="shared" si="35"/>
        <v>2</v>
      </c>
      <c r="H33" s="53">
        <f>(1.0926-1.1021)/(1.1021-1.104)*C33</f>
        <v>5</v>
      </c>
      <c r="I33" s="92">
        <f>(1.0926-1.1021)/(1.1021-1.104)*C33</f>
        <v>5</v>
      </c>
      <c r="J33" s="93">
        <f t="shared" ref="J33:N33" si="45">IF(E33="","",J31+T33)</f>
        <v>119398.938398694</v>
      </c>
      <c r="K33" s="93">
        <f t="shared" si="45"/>
        <v>125897.544764084</v>
      </c>
      <c r="L33" s="93">
        <f t="shared" si="45"/>
        <v>141102.22406145</v>
      </c>
      <c r="M33" s="93">
        <f t="shared" si="45"/>
        <v>206852.105633372</v>
      </c>
      <c r="N33" s="93">
        <f t="shared" si="45"/>
        <v>256598.782439715</v>
      </c>
      <c r="O33" s="94">
        <f t="shared" ref="O33:S33" si="46">IF(J31="","",J31*0.03)</f>
        <v>3450.50395141202</v>
      </c>
      <c r="P33" s="95">
        <f t="shared" si="46"/>
        <v>3614.28358174405</v>
      </c>
      <c r="Q33" s="95">
        <f t="shared" si="46"/>
        <v>3993.45917155047</v>
      </c>
      <c r="R33" s="95">
        <f t="shared" si="46"/>
        <v>5396.14188608796</v>
      </c>
      <c r="S33" s="95">
        <f t="shared" si="46"/>
        <v>6693.88128103603</v>
      </c>
      <c r="T33" s="94">
        <f t="shared" ref="T33:X33" si="47">IF(E33="","",O33*E33)</f>
        <v>4382.14001829326</v>
      </c>
      <c r="U33" s="95">
        <f t="shared" si="47"/>
        <v>5421.42537261607</v>
      </c>
      <c r="V33" s="95">
        <f t="shared" si="47"/>
        <v>7986.91834310093</v>
      </c>
      <c r="W33" s="95">
        <f t="shared" si="47"/>
        <v>26980.7094304398</v>
      </c>
      <c r="X33" s="119">
        <f t="shared" si="47"/>
        <v>33469.4064051802</v>
      </c>
      <c r="Y33" s="137" t="s">
        <v>47</v>
      </c>
      <c r="Z33" s="137" t="s">
        <v>48</v>
      </c>
      <c r="AA33" s="138" t="s">
        <v>49</v>
      </c>
      <c r="AB33" s="132"/>
    </row>
    <row r="34" ht="56.25" spans="1:28">
      <c r="A34" s="54">
        <v>13</v>
      </c>
      <c r="B34" s="55">
        <v>43922</v>
      </c>
      <c r="C34" s="56">
        <f>C11</f>
        <v>1</v>
      </c>
      <c r="D34" s="57">
        <v>1</v>
      </c>
      <c r="E34" s="58">
        <f t="shared" si="33"/>
        <v>1.27</v>
      </c>
      <c r="F34" s="59">
        <f t="shared" si="34"/>
        <v>1.5</v>
      </c>
      <c r="G34" s="59">
        <f t="shared" si="35"/>
        <v>2</v>
      </c>
      <c r="H34" s="60">
        <f>(1.0926-1.0926)/(1.0926-1.0901)*C34</f>
        <v>0</v>
      </c>
      <c r="I34" s="96">
        <f t="shared" ref="I33:I35" si="48">(1.1021-1.1021)/(1.1021-1.104)*C34</f>
        <v>0</v>
      </c>
      <c r="J34" s="97">
        <f t="shared" ref="J34:N34" si="49">IF(E34="","",J33+T34)</f>
        <v>123948.037951684</v>
      </c>
      <c r="K34" s="97">
        <f t="shared" si="49"/>
        <v>131562.934278468</v>
      </c>
      <c r="L34" s="97">
        <f t="shared" si="49"/>
        <v>149568.357505137</v>
      </c>
      <c r="M34" s="97">
        <f t="shared" si="49"/>
        <v>206852.105633372</v>
      </c>
      <c r="N34" s="97">
        <f t="shared" si="49"/>
        <v>256598.782439715</v>
      </c>
      <c r="O34" s="98">
        <f t="shared" ref="O34:S34" si="50">IF(J33="","",J33*0.03)</f>
        <v>3581.96815196082</v>
      </c>
      <c r="P34" s="99">
        <f t="shared" si="50"/>
        <v>3776.92634292253</v>
      </c>
      <c r="Q34" s="99">
        <f t="shared" si="50"/>
        <v>4233.06672184349</v>
      </c>
      <c r="R34" s="99">
        <f t="shared" si="50"/>
        <v>6205.56316900115</v>
      </c>
      <c r="S34" s="99">
        <f t="shared" si="50"/>
        <v>7697.96347319144</v>
      </c>
      <c r="T34" s="98">
        <f t="shared" ref="T34:X34" si="51">IF(E34="","",O34*E34)</f>
        <v>4549.09955299024</v>
      </c>
      <c r="U34" s="99">
        <f t="shared" si="51"/>
        <v>5665.38951438379</v>
      </c>
      <c r="V34" s="99">
        <f t="shared" si="51"/>
        <v>8466.13344368699</v>
      </c>
      <c r="W34" s="99">
        <f t="shared" si="51"/>
        <v>0</v>
      </c>
      <c r="X34" s="120">
        <f t="shared" si="51"/>
        <v>0</v>
      </c>
      <c r="Y34" s="142" t="s">
        <v>50</v>
      </c>
      <c r="Z34" s="142" t="s">
        <v>51</v>
      </c>
      <c r="AA34" s="150" t="s">
        <v>52</v>
      </c>
      <c r="AB34" s="135"/>
    </row>
    <row r="35" s="21" customFormat="1" ht="37.5" spans="1:28">
      <c r="A35" s="47">
        <v>14</v>
      </c>
      <c r="B35" s="48">
        <v>43923</v>
      </c>
      <c r="C35" s="49">
        <f>C10</f>
        <v>1</v>
      </c>
      <c r="D35" s="50">
        <v>2</v>
      </c>
      <c r="E35" s="51">
        <f t="shared" si="33"/>
        <v>1.27</v>
      </c>
      <c r="F35" s="52">
        <f t="shared" si="34"/>
        <v>1.5</v>
      </c>
      <c r="G35" s="52">
        <f t="shared" si="35"/>
        <v>2</v>
      </c>
      <c r="H35" s="53">
        <f>(1.0817-1.0932)/(1.0932-1.0965)*C35</f>
        <v>3.48484848484835</v>
      </c>
      <c r="I35" s="92">
        <f>(1.0866-1.0932)/(1.0932-1.0965)*C35</f>
        <v>1.99999999999993</v>
      </c>
      <c r="J35" s="93">
        <f t="shared" ref="J35:N35" si="52">IF(E35="","",J34+T35)</f>
        <v>128670.458197643</v>
      </c>
      <c r="K35" s="93">
        <f t="shared" si="52"/>
        <v>137483.266320999</v>
      </c>
      <c r="L35" s="93">
        <f t="shared" si="52"/>
        <v>158542.458955445</v>
      </c>
      <c r="M35" s="93">
        <f t="shared" si="52"/>
        <v>228477.553040496</v>
      </c>
      <c r="N35" s="93">
        <f t="shared" si="52"/>
        <v>271994.709386097</v>
      </c>
      <c r="O35" s="94">
        <f t="shared" ref="O35:S35" si="53">IF(J34="","",J34*0.03)</f>
        <v>3718.44113855052</v>
      </c>
      <c r="P35" s="95">
        <f t="shared" si="53"/>
        <v>3946.88802835404</v>
      </c>
      <c r="Q35" s="95">
        <f t="shared" si="53"/>
        <v>4487.0507251541</v>
      </c>
      <c r="R35" s="95">
        <f t="shared" si="53"/>
        <v>6205.56316900115</v>
      </c>
      <c r="S35" s="95">
        <f t="shared" si="53"/>
        <v>7697.96347319144</v>
      </c>
      <c r="T35" s="94">
        <f t="shared" ref="T35:X35" si="54">IF(E35="","",O35*E35)</f>
        <v>4722.42024595917</v>
      </c>
      <c r="U35" s="95">
        <f t="shared" si="54"/>
        <v>5920.33204253106</v>
      </c>
      <c r="V35" s="95">
        <f t="shared" si="54"/>
        <v>8974.10145030821</v>
      </c>
      <c r="W35" s="95">
        <f t="shared" si="54"/>
        <v>21625.4474071244</v>
      </c>
      <c r="X35" s="119">
        <f t="shared" si="54"/>
        <v>15395.9269463824</v>
      </c>
      <c r="Y35" s="148" t="s">
        <v>53</v>
      </c>
      <c r="Z35" s="148" t="s">
        <v>54</v>
      </c>
      <c r="AA35" s="151"/>
      <c r="AB35" s="132"/>
    </row>
    <row r="36" s="23" customFormat="1" ht="36" spans="1:28">
      <c r="A36" s="68">
        <v>15</v>
      </c>
      <c r="B36" s="69">
        <v>43924</v>
      </c>
      <c r="C36" s="70">
        <f>C4</f>
        <v>1</v>
      </c>
      <c r="D36" s="71">
        <v>1</v>
      </c>
      <c r="E36" s="72">
        <f>-1*C36</f>
        <v>-1</v>
      </c>
      <c r="F36" s="73">
        <f>-1*C36</f>
        <v>-1</v>
      </c>
      <c r="G36" s="73">
        <f>-1*C36</f>
        <v>-1</v>
      </c>
      <c r="H36" s="74">
        <f>-1*C36</f>
        <v>-1</v>
      </c>
      <c r="I36" s="104">
        <f>-1*C36</f>
        <v>-1</v>
      </c>
      <c r="J36" s="105">
        <f t="shared" ref="J36:N36" si="55">IF(E36="","",J35+T36)</f>
        <v>124810.344451714</v>
      </c>
      <c r="K36" s="105">
        <f t="shared" si="55"/>
        <v>133358.768331369</v>
      </c>
      <c r="L36" s="105">
        <f t="shared" si="55"/>
        <v>153786.185186782</v>
      </c>
      <c r="M36" s="105">
        <f t="shared" si="55"/>
        <v>221623.226449281</v>
      </c>
      <c r="N36" s="105">
        <f t="shared" si="55"/>
        <v>263834.868104514</v>
      </c>
      <c r="O36" s="106">
        <f t="shared" ref="O36:S36" si="56">IF(J35="","",J35*0.03)</f>
        <v>3860.1137459293</v>
      </c>
      <c r="P36" s="107">
        <f t="shared" si="56"/>
        <v>4124.49798962997</v>
      </c>
      <c r="Q36" s="107">
        <f t="shared" si="56"/>
        <v>4756.27376866335</v>
      </c>
      <c r="R36" s="107">
        <f t="shared" si="56"/>
        <v>6854.32659121488</v>
      </c>
      <c r="S36" s="107">
        <f t="shared" si="56"/>
        <v>8159.84128158291</v>
      </c>
      <c r="T36" s="106">
        <f t="shared" ref="T36:X36" si="57">IF(E36="","",O36*E36)</f>
        <v>-3860.1137459293</v>
      </c>
      <c r="U36" s="107">
        <f t="shared" si="57"/>
        <v>-4124.49798962997</v>
      </c>
      <c r="V36" s="107">
        <f t="shared" si="57"/>
        <v>-4756.27376866335</v>
      </c>
      <c r="W36" s="107">
        <f t="shared" si="57"/>
        <v>-6854.32659121488</v>
      </c>
      <c r="X36" s="122">
        <f t="shared" si="57"/>
        <v>-8159.84128158291</v>
      </c>
      <c r="Y36" s="152" t="s">
        <v>37</v>
      </c>
      <c r="Z36" s="153" t="s">
        <v>38</v>
      </c>
      <c r="AA36" s="154"/>
      <c r="AB36" s="146"/>
    </row>
    <row r="37" s="23" customFormat="1" spans="1:28">
      <c r="A37" s="68">
        <v>16</v>
      </c>
      <c r="B37" s="69">
        <v>43927</v>
      </c>
      <c r="C37" s="70">
        <f>C10</f>
        <v>1</v>
      </c>
      <c r="D37" s="71">
        <v>2</v>
      </c>
      <c r="E37" s="72">
        <f t="shared" ref="E37:E45" si="58">1.27*C37</f>
        <v>1.27</v>
      </c>
      <c r="F37" s="73">
        <f t="shared" ref="F37:F45" si="59">1.5*C37</f>
        <v>1.5</v>
      </c>
      <c r="G37" s="73">
        <f>-1*C37</f>
        <v>-1</v>
      </c>
      <c r="H37" s="74">
        <f>-1*C37</f>
        <v>-1</v>
      </c>
      <c r="I37" s="104">
        <f>-1*C37</f>
        <v>-1</v>
      </c>
      <c r="J37" s="105">
        <f t="shared" ref="J37:N37" si="60">IF(E37="","",J36+T37)</f>
        <v>129565.618575324</v>
      </c>
      <c r="K37" s="105">
        <f t="shared" si="60"/>
        <v>139359.912906281</v>
      </c>
      <c r="L37" s="105">
        <f t="shared" si="60"/>
        <v>149172.599631178</v>
      </c>
      <c r="M37" s="105">
        <f t="shared" si="60"/>
        <v>214974.529655803</v>
      </c>
      <c r="N37" s="105">
        <f t="shared" si="60"/>
        <v>255919.822061379</v>
      </c>
      <c r="O37" s="106">
        <f t="shared" ref="O37:S37" si="61">IF(J36="","",J36*0.03)</f>
        <v>3744.31033355142</v>
      </c>
      <c r="P37" s="107">
        <f t="shared" si="61"/>
        <v>4000.76304994107</v>
      </c>
      <c r="Q37" s="107">
        <f t="shared" si="61"/>
        <v>4613.58555560345</v>
      </c>
      <c r="R37" s="107">
        <f t="shared" si="61"/>
        <v>6648.69679347843</v>
      </c>
      <c r="S37" s="107">
        <f t="shared" si="61"/>
        <v>7915.04604313542</v>
      </c>
      <c r="T37" s="106">
        <f t="shared" ref="T37:X37" si="62">IF(E37="","",O37*E37)</f>
        <v>4755.2741236103</v>
      </c>
      <c r="U37" s="107">
        <f t="shared" si="62"/>
        <v>6001.14457491161</v>
      </c>
      <c r="V37" s="107">
        <f t="shared" si="62"/>
        <v>-4613.58555560345</v>
      </c>
      <c r="W37" s="107">
        <f t="shared" si="62"/>
        <v>-6648.69679347843</v>
      </c>
      <c r="X37" s="122">
        <f t="shared" si="62"/>
        <v>-7915.04604313542</v>
      </c>
      <c r="Y37" s="155"/>
      <c r="Z37" s="155"/>
      <c r="AA37" s="154"/>
      <c r="AB37" s="146"/>
    </row>
    <row r="38" s="21" customFormat="1" spans="1:28">
      <c r="A38" s="47">
        <v>17</v>
      </c>
      <c r="B38" s="48">
        <v>43927</v>
      </c>
      <c r="C38" s="49">
        <f>C4</f>
        <v>1</v>
      </c>
      <c r="D38" s="50">
        <v>1</v>
      </c>
      <c r="E38" s="51">
        <f t="shared" si="58"/>
        <v>1.27</v>
      </c>
      <c r="F38" s="52">
        <f t="shared" si="59"/>
        <v>1.5</v>
      </c>
      <c r="G38" s="52">
        <f t="shared" ref="G38:G45" si="63">2*C38</f>
        <v>2</v>
      </c>
      <c r="H38" s="53">
        <f>(1.0874-1.0803)/(1.0803-1.0766)*C38</f>
        <v>1.91891891891887</v>
      </c>
      <c r="I38" s="92">
        <f>(1.0923-1.0803)/(1.0803-1.0766)*C38</f>
        <v>3.24324324324321</v>
      </c>
      <c r="J38" s="93">
        <f t="shared" ref="J38:N38" si="64">IF(E38="","",J37+T38)</f>
        <v>134502.068643044</v>
      </c>
      <c r="K38" s="93">
        <f t="shared" si="64"/>
        <v>145631.108987063</v>
      </c>
      <c r="L38" s="93">
        <f t="shared" si="64"/>
        <v>158122.955609049</v>
      </c>
      <c r="M38" s="93">
        <f t="shared" si="64"/>
        <v>227350.090417069</v>
      </c>
      <c r="N38" s="93">
        <f t="shared" si="64"/>
        <v>280820.129072756</v>
      </c>
      <c r="O38" s="94">
        <f t="shared" ref="O38:S38" si="65">IF(J37="","",J37*0.03)</f>
        <v>3886.96855725973</v>
      </c>
      <c r="P38" s="95">
        <f t="shared" si="65"/>
        <v>4180.79738718842</v>
      </c>
      <c r="Q38" s="95">
        <f t="shared" si="65"/>
        <v>4475.17798893535</v>
      </c>
      <c r="R38" s="95">
        <f t="shared" si="65"/>
        <v>6449.23588967408</v>
      </c>
      <c r="S38" s="95">
        <f t="shared" si="65"/>
        <v>7677.59466184136</v>
      </c>
      <c r="T38" s="94">
        <f t="shared" ref="T38:X38" si="66">IF(E38="","",O38*E38)</f>
        <v>4936.45006771986</v>
      </c>
      <c r="U38" s="95">
        <f t="shared" si="66"/>
        <v>6271.19608078263</v>
      </c>
      <c r="V38" s="95">
        <f t="shared" si="66"/>
        <v>8950.35597787069</v>
      </c>
      <c r="W38" s="95">
        <f t="shared" si="66"/>
        <v>12375.5607612662</v>
      </c>
      <c r="X38" s="119">
        <f t="shared" si="66"/>
        <v>24900.3070113772</v>
      </c>
      <c r="Y38" s="156"/>
      <c r="Z38" s="156"/>
      <c r="AA38" s="131"/>
      <c r="AB38" s="132"/>
    </row>
    <row r="39" ht="37.5" spans="1:28">
      <c r="A39" s="54"/>
      <c r="B39" s="55">
        <v>43928</v>
      </c>
      <c r="C39" s="56"/>
      <c r="D39" s="57"/>
      <c r="E39" s="58"/>
      <c r="F39" s="59"/>
      <c r="G39" s="75"/>
      <c r="H39" s="60"/>
      <c r="I39" s="96"/>
      <c r="J39" s="108"/>
      <c r="K39" s="108"/>
      <c r="L39" s="108"/>
      <c r="M39" s="108"/>
      <c r="N39" s="108"/>
      <c r="O39" s="109"/>
      <c r="P39" s="110"/>
      <c r="Q39" s="110"/>
      <c r="R39" s="110"/>
      <c r="S39" s="110"/>
      <c r="T39" s="109"/>
      <c r="U39" s="110"/>
      <c r="V39" s="110"/>
      <c r="W39" s="110"/>
      <c r="X39" s="123"/>
      <c r="Y39" s="142" t="s">
        <v>55</v>
      </c>
      <c r="Z39" s="142" t="s">
        <v>41</v>
      </c>
      <c r="AA39" s="134"/>
      <c r="AB39" s="135"/>
    </row>
    <row r="40" s="21" customFormat="1" spans="1:28">
      <c r="A40" s="47">
        <v>18</v>
      </c>
      <c r="B40" s="48">
        <v>43929</v>
      </c>
      <c r="C40" s="49">
        <f>C6</f>
        <v>1</v>
      </c>
      <c r="D40" s="50">
        <v>1</v>
      </c>
      <c r="E40" s="51">
        <f t="shared" si="58"/>
        <v>1.27</v>
      </c>
      <c r="F40" s="52">
        <f t="shared" si="59"/>
        <v>1.5</v>
      </c>
      <c r="G40" s="52">
        <f t="shared" si="63"/>
        <v>2</v>
      </c>
      <c r="H40" s="53">
        <f>(1.0923-1.0866)/(1.0866-1.0831)*C40</f>
        <v>1.62857142857141</v>
      </c>
      <c r="I40" s="92">
        <f>(1.0923-1.0866)/(1.0866-1.0831)*C40</f>
        <v>1.62857142857141</v>
      </c>
      <c r="J40" s="93">
        <f t="shared" ref="J40:N40" si="67">IF(E40="","",J38+T40)</f>
        <v>139626.597458344</v>
      </c>
      <c r="K40" s="93">
        <f t="shared" si="67"/>
        <v>152184.508891481</v>
      </c>
      <c r="L40" s="93">
        <f t="shared" si="67"/>
        <v>167610.332945592</v>
      </c>
      <c r="M40" s="93">
        <f t="shared" si="67"/>
        <v>238457.76626316</v>
      </c>
      <c r="N40" s="93">
        <f t="shared" si="67"/>
        <v>294540.198236025</v>
      </c>
      <c r="O40" s="94">
        <f t="shared" ref="O40:S40" si="68">IF(J38="","",J38*0.03)</f>
        <v>4035.06205929133</v>
      </c>
      <c r="P40" s="95">
        <f t="shared" si="68"/>
        <v>4368.9332696119</v>
      </c>
      <c r="Q40" s="95">
        <f t="shared" si="68"/>
        <v>4743.68866827147</v>
      </c>
      <c r="R40" s="95">
        <f t="shared" si="68"/>
        <v>6820.50271251207</v>
      </c>
      <c r="S40" s="95">
        <f t="shared" si="68"/>
        <v>8424.60387218267</v>
      </c>
      <c r="T40" s="94">
        <f t="shared" ref="T40:T46" si="69">IF(E40="","",O40*E40)</f>
        <v>5124.52881529998</v>
      </c>
      <c r="U40" s="95">
        <f t="shared" ref="U40:U45" si="70">IF(F40="","",P40*F40)</f>
        <v>6553.39990441785</v>
      </c>
      <c r="V40" s="95">
        <f t="shared" ref="V40:V45" si="71">IF(G40="","",Q40*G40)</f>
        <v>9487.37733654294</v>
      </c>
      <c r="W40" s="95">
        <f t="shared" ref="W40:W45" si="72">IF(H40="","",R40*H40)</f>
        <v>11107.675846091</v>
      </c>
      <c r="X40" s="119">
        <f t="shared" ref="X40:X45" si="73">IF(I40="","",S40*I40)</f>
        <v>13720.0691632688</v>
      </c>
      <c r="Y40" s="137" t="s">
        <v>56</v>
      </c>
      <c r="Z40" s="137" t="s">
        <v>48</v>
      </c>
      <c r="AA40" s="138" t="s">
        <v>57</v>
      </c>
      <c r="AB40" s="132"/>
    </row>
    <row r="41" s="21" customFormat="1" spans="1:28">
      <c r="A41" s="47">
        <v>19</v>
      </c>
      <c r="B41" s="48">
        <v>43930</v>
      </c>
      <c r="C41" s="49">
        <f>C8</f>
        <v>1</v>
      </c>
      <c r="D41" s="50">
        <v>1</v>
      </c>
      <c r="E41" s="51">
        <f t="shared" si="58"/>
        <v>1.27</v>
      </c>
      <c r="F41" s="52">
        <f t="shared" si="59"/>
        <v>1.5</v>
      </c>
      <c r="G41" s="52">
        <f t="shared" si="63"/>
        <v>2</v>
      </c>
      <c r="H41" s="53">
        <f>(1.0923-1.0861)/(1.0861-1.0839)*C41</f>
        <v>2.81818181818184</v>
      </c>
      <c r="I41" s="92">
        <f>(1.0923-1.0861)/(1.0861-1.0839)*C41</f>
        <v>2.81818181818184</v>
      </c>
      <c r="J41" s="93">
        <f t="shared" ref="J41:N41" si="74">IF(E41="","",J40+T41)</f>
        <v>144946.370821507</v>
      </c>
      <c r="K41" s="93">
        <f t="shared" si="74"/>
        <v>159032.811791598</v>
      </c>
      <c r="L41" s="93">
        <f t="shared" si="74"/>
        <v>177666.952922327</v>
      </c>
      <c r="M41" s="93">
        <f t="shared" si="74"/>
        <v>258618.286501773</v>
      </c>
      <c r="N41" s="93">
        <f t="shared" si="74"/>
        <v>319442.233177798</v>
      </c>
      <c r="O41" s="94">
        <f t="shared" ref="O41:S41" si="75">IF(J40="","",J40*0.03)</f>
        <v>4188.79792375032</v>
      </c>
      <c r="P41" s="95">
        <f t="shared" si="75"/>
        <v>4565.53526674444</v>
      </c>
      <c r="Q41" s="95">
        <f t="shared" si="75"/>
        <v>5028.30998836776</v>
      </c>
      <c r="R41" s="95">
        <f t="shared" si="75"/>
        <v>7153.73298789479</v>
      </c>
      <c r="S41" s="95">
        <f t="shared" si="75"/>
        <v>8836.20594708074</v>
      </c>
      <c r="T41" s="94">
        <f t="shared" si="69"/>
        <v>5319.77336316291</v>
      </c>
      <c r="U41" s="95">
        <f t="shared" si="70"/>
        <v>6848.30290011666</v>
      </c>
      <c r="V41" s="95">
        <f t="shared" si="71"/>
        <v>10056.6199767355</v>
      </c>
      <c r="W41" s="95">
        <f t="shared" si="72"/>
        <v>20160.5202386127</v>
      </c>
      <c r="X41" s="119">
        <f t="shared" si="73"/>
        <v>24902.0349417732</v>
      </c>
      <c r="Y41" s="137" t="s">
        <v>58</v>
      </c>
      <c r="Z41" s="137" t="s">
        <v>48</v>
      </c>
      <c r="AA41" s="138" t="s">
        <v>57</v>
      </c>
      <c r="AB41" s="132"/>
    </row>
    <row r="42" ht="37.5" spans="1:28">
      <c r="A42" s="54">
        <v>20</v>
      </c>
      <c r="B42" s="55">
        <v>43934</v>
      </c>
      <c r="C42" s="56">
        <f>C10</f>
        <v>1</v>
      </c>
      <c r="D42" s="57">
        <v>1</v>
      </c>
      <c r="E42" s="58">
        <f t="shared" si="58"/>
        <v>1.27</v>
      </c>
      <c r="F42" s="59">
        <f t="shared" si="59"/>
        <v>1.5</v>
      </c>
      <c r="G42" s="59">
        <f t="shared" si="63"/>
        <v>2</v>
      </c>
      <c r="H42" s="60">
        <f>(1.094-1.094)/(1.094-1.0923)*C42</f>
        <v>0</v>
      </c>
      <c r="I42" s="96">
        <f>(1.094-1.094)/(1.094-1.0923)*C42</f>
        <v>0</v>
      </c>
      <c r="J42" s="97">
        <f t="shared" ref="J42:N42" si="76">IF(E42="","",J41+T42)</f>
        <v>150468.827549806</v>
      </c>
      <c r="K42" s="97">
        <f t="shared" si="76"/>
        <v>166189.28832222</v>
      </c>
      <c r="L42" s="97">
        <f t="shared" si="76"/>
        <v>188326.970097667</v>
      </c>
      <c r="M42" s="97">
        <f t="shared" si="76"/>
        <v>258618.286501773</v>
      </c>
      <c r="N42" s="97">
        <f t="shared" si="76"/>
        <v>319442.233177798</v>
      </c>
      <c r="O42" s="98">
        <f t="shared" ref="O42:S42" si="77">IF(J41="","",J41*0.03)</f>
        <v>4348.39112464521</v>
      </c>
      <c r="P42" s="99">
        <f t="shared" si="77"/>
        <v>4770.98435374794</v>
      </c>
      <c r="Q42" s="99">
        <f t="shared" si="77"/>
        <v>5330.00858766982</v>
      </c>
      <c r="R42" s="99">
        <f t="shared" si="77"/>
        <v>7758.54859505318</v>
      </c>
      <c r="S42" s="99">
        <f t="shared" si="77"/>
        <v>9583.26699533393</v>
      </c>
      <c r="T42" s="98">
        <f t="shared" si="69"/>
        <v>5522.45672829942</v>
      </c>
      <c r="U42" s="99">
        <f t="shared" si="70"/>
        <v>7156.47653062191</v>
      </c>
      <c r="V42" s="99">
        <f t="shared" si="71"/>
        <v>10660.0171753396</v>
      </c>
      <c r="W42" s="99">
        <f t="shared" si="72"/>
        <v>0</v>
      </c>
      <c r="X42" s="120">
        <f t="shared" si="73"/>
        <v>0</v>
      </c>
      <c r="Y42" s="157" t="s">
        <v>59</v>
      </c>
      <c r="Z42" s="158" t="s">
        <v>54</v>
      </c>
      <c r="AA42" s="150" t="s">
        <v>60</v>
      </c>
      <c r="AB42" s="135"/>
    </row>
    <row r="43" ht="36" spans="1:28">
      <c r="A43" s="54">
        <v>21</v>
      </c>
      <c r="B43" s="55">
        <v>43934</v>
      </c>
      <c r="C43" s="56">
        <f>C4</f>
        <v>1</v>
      </c>
      <c r="D43" s="57">
        <v>2</v>
      </c>
      <c r="E43" s="58">
        <f t="shared" si="58"/>
        <v>1.27</v>
      </c>
      <c r="F43" s="59">
        <f t="shared" si="59"/>
        <v>1.5</v>
      </c>
      <c r="G43" s="59">
        <f t="shared" si="63"/>
        <v>2</v>
      </c>
      <c r="H43" s="60">
        <f>(1.0942-1.0942)/(1.0942-1.0968)*C43</f>
        <v>0</v>
      </c>
      <c r="I43" s="96">
        <f>(1.0942-1.0942)/(1.0942-1.0968)*C43</f>
        <v>0</v>
      </c>
      <c r="J43" s="97">
        <f t="shared" ref="J43:N43" si="78">IF(E43="","",J42+T43)</f>
        <v>156201.689879454</v>
      </c>
      <c r="K43" s="97">
        <f t="shared" si="78"/>
        <v>173667.80629672</v>
      </c>
      <c r="L43" s="97">
        <f t="shared" si="78"/>
        <v>199626.588303527</v>
      </c>
      <c r="M43" s="97">
        <f t="shared" si="78"/>
        <v>258618.286501773</v>
      </c>
      <c r="N43" s="97">
        <f t="shared" si="78"/>
        <v>319442.233177798</v>
      </c>
      <c r="O43" s="98">
        <f t="shared" ref="O43:S43" si="79">IF(J42="","",J42*0.03)</f>
        <v>4514.06482649419</v>
      </c>
      <c r="P43" s="99">
        <f t="shared" si="79"/>
        <v>4985.67864966659</v>
      </c>
      <c r="Q43" s="99">
        <f t="shared" si="79"/>
        <v>5649.80910293001</v>
      </c>
      <c r="R43" s="99">
        <f t="shared" si="79"/>
        <v>7758.54859505318</v>
      </c>
      <c r="S43" s="99">
        <f t="shared" si="79"/>
        <v>9583.26699533393</v>
      </c>
      <c r="T43" s="98">
        <f t="shared" si="69"/>
        <v>5732.86232964763</v>
      </c>
      <c r="U43" s="99">
        <f t="shared" si="70"/>
        <v>7478.51797449989</v>
      </c>
      <c r="V43" s="99">
        <f t="shared" si="71"/>
        <v>11299.61820586</v>
      </c>
      <c r="W43" s="99">
        <f t="shared" si="72"/>
        <v>0</v>
      </c>
      <c r="X43" s="120">
        <f t="shared" si="73"/>
        <v>0</v>
      </c>
      <c r="Y43" s="159" t="s">
        <v>37</v>
      </c>
      <c r="Z43" s="158" t="s">
        <v>45</v>
      </c>
      <c r="AA43" s="134"/>
      <c r="AB43" s="135"/>
    </row>
    <row r="44" ht="37.5" spans="1:28">
      <c r="A44" s="54">
        <v>22</v>
      </c>
      <c r="B44" s="55">
        <v>43934</v>
      </c>
      <c r="C44" s="56">
        <f>C10</f>
        <v>1</v>
      </c>
      <c r="D44" s="57">
        <v>1</v>
      </c>
      <c r="E44" s="58">
        <f t="shared" si="58"/>
        <v>1.27</v>
      </c>
      <c r="F44" s="59">
        <f t="shared" si="59"/>
        <v>1.5</v>
      </c>
      <c r="G44" s="59">
        <f t="shared" si="63"/>
        <v>2</v>
      </c>
      <c r="H44" s="60">
        <f>(1.0913-1.0909)/(1.0909-1.089)*C44</f>
        <v>0.210526315789449</v>
      </c>
      <c r="I44" s="96">
        <f>(1.0909-1.0909)/(1.0909-1.089)*C44</f>
        <v>0</v>
      </c>
      <c r="J44" s="97">
        <f t="shared" ref="J44:N44" si="80">IF(E44="","",J43+T44)</f>
        <v>162152.974263861</v>
      </c>
      <c r="K44" s="97">
        <f t="shared" si="80"/>
        <v>181482.857580072</v>
      </c>
      <c r="L44" s="97">
        <f t="shared" si="80"/>
        <v>211604.183601739</v>
      </c>
      <c r="M44" s="97">
        <f t="shared" si="80"/>
        <v>260251.665153363</v>
      </c>
      <c r="N44" s="97">
        <f t="shared" si="80"/>
        <v>319442.233177798</v>
      </c>
      <c r="O44" s="98">
        <f t="shared" ref="O44:S44" si="81">IF(J43="","",J43*0.03)</f>
        <v>4686.05069638362</v>
      </c>
      <c r="P44" s="99">
        <f t="shared" si="81"/>
        <v>5210.03418890159</v>
      </c>
      <c r="Q44" s="99">
        <f t="shared" si="81"/>
        <v>5988.79764910581</v>
      </c>
      <c r="R44" s="99">
        <f t="shared" si="81"/>
        <v>7758.54859505318</v>
      </c>
      <c r="S44" s="99">
        <f t="shared" si="81"/>
        <v>9583.26699533393</v>
      </c>
      <c r="T44" s="98">
        <f t="shared" si="69"/>
        <v>5951.2843844072</v>
      </c>
      <c r="U44" s="99">
        <f t="shared" si="70"/>
        <v>7815.05128335239</v>
      </c>
      <c r="V44" s="99">
        <f t="shared" si="71"/>
        <v>11977.5952982116</v>
      </c>
      <c r="W44" s="99">
        <f t="shared" si="72"/>
        <v>1633.37865158995</v>
      </c>
      <c r="X44" s="120">
        <f t="shared" si="73"/>
        <v>0</v>
      </c>
      <c r="Y44" s="157" t="s">
        <v>61</v>
      </c>
      <c r="Z44" s="158" t="s">
        <v>54</v>
      </c>
      <c r="AA44" s="134"/>
      <c r="AB44" s="135"/>
    </row>
    <row r="45" s="24" customFormat="1" ht="36" spans="1:28">
      <c r="A45" s="76">
        <v>23</v>
      </c>
      <c r="B45" s="55">
        <v>43938</v>
      </c>
      <c r="C45" s="56">
        <f>C4</f>
        <v>1</v>
      </c>
      <c r="D45" s="57">
        <v>1</v>
      </c>
      <c r="E45" s="58">
        <f t="shared" si="58"/>
        <v>1.27</v>
      </c>
      <c r="F45" s="59">
        <f t="shared" si="59"/>
        <v>1.5</v>
      </c>
      <c r="G45" s="59">
        <f t="shared" si="63"/>
        <v>2</v>
      </c>
      <c r="H45" s="60">
        <f>(1.0838-1.0838)/(1.0838-1.0815)*C45</f>
        <v>0</v>
      </c>
      <c r="I45" s="96">
        <f>(1.0838-1.0838)/(1.0838-1.0815)*C45</f>
        <v>0</v>
      </c>
      <c r="J45" s="111">
        <f t="shared" ref="J45:N45" si="82">IF(E45="","",J44+T45)</f>
        <v>168331.002583314</v>
      </c>
      <c r="K45" s="111">
        <f t="shared" si="82"/>
        <v>189649.586171175</v>
      </c>
      <c r="L45" s="111">
        <f t="shared" si="82"/>
        <v>224300.434617843</v>
      </c>
      <c r="M45" s="111">
        <f t="shared" si="82"/>
        <v>260251.665153363</v>
      </c>
      <c r="N45" s="111">
        <f t="shared" si="82"/>
        <v>319442.233177798</v>
      </c>
      <c r="O45" s="98">
        <f t="shared" ref="O45:S45" si="83">IF(J44="","",J44*0.03)</f>
        <v>4864.58922791584</v>
      </c>
      <c r="P45" s="99">
        <f t="shared" si="83"/>
        <v>5444.48572740216</v>
      </c>
      <c r="Q45" s="99">
        <f t="shared" si="83"/>
        <v>6348.12550805216</v>
      </c>
      <c r="R45" s="99">
        <f t="shared" si="83"/>
        <v>7807.54995460088</v>
      </c>
      <c r="S45" s="99">
        <f t="shared" si="83"/>
        <v>9583.26699533393</v>
      </c>
      <c r="T45" s="98">
        <f t="shared" si="69"/>
        <v>6178.02831945311</v>
      </c>
      <c r="U45" s="99">
        <f t="shared" si="70"/>
        <v>8166.72859110324</v>
      </c>
      <c r="V45" s="99">
        <f t="shared" si="71"/>
        <v>12696.2510161043</v>
      </c>
      <c r="W45" s="99">
        <f t="shared" si="72"/>
        <v>0</v>
      </c>
      <c r="X45" s="120">
        <f t="shared" si="73"/>
        <v>0</v>
      </c>
      <c r="Y45" s="159" t="s">
        <v>37</v>
      </c>
      <c r="Z45" s="157" t="s">
        <v>38</v>
      </c>
      <c r="AA45" s="160"/>
      <c r="AB45" s="161"/>
    </row>
    <row r="46" s="24" customFormat="1" ht="37.5" spans="1:28">
      <c r="A46" s="76"/>
      <c r="B46" s="55">
        <v>43938</v>
      </c>
      <c r="C46" s="56"/>
      <c r="D46" s="57"/>
      <c r="E46" s="58"/>
      <c r="F46" s="59"/>
      <c r="G46" s="59"/>
      <c r="H46" s="60"/>
      <c r="I46" s="96"/>
      <c r="J46" s="111"/>
      <c r="K46" s="111"/>
      <c r="L46" s="111"/>
      <c r="M46" s="111"/>
      <c r="N46" s="111"/>
      <c r="O46" s="98"/>
      <c r="P46" s="99"/>
      <c r="Q46" s="99"/>
      <c r="R46" s="99"/>
      <c r="S46" s="99"/>
      <c r="T46" s="98"/>
      <c r="U46" s="99"/>
      <c r="V46" s="99"/>
      <c r="W46" s="99"/>
      <c r="X46" s="120"/>
      <c r="Y46" s="142" t="s">
        <v>55</v>
      </c>
      <c r="Z46" s="142" t="s">
        <v>41</v>
      </c>
      <c r="AA46" s="160"/>
      <c r="AB46" s="161"/>
    </row>
    <row r="47" spans="1:28">
      <c r="A47" s="54">
        <v>24</v>
      </c>
      <c r="B47" s="55">
        <v>43941</v>
      </c>
      <c r="C47" s="56">
        <f>C7</f>
        <v>1</v>
      </c>
      <c r="D47" s="57">
        <v>1</v>
      </c>
      <c r="E47" s="58">
        <f t="shared" ref="E47:E52" si="84">1.27*C47</f>
        <v>1.27</v>
      </c>
      <c r="F47" s="59">
        <f>1.5*C47</f>
        <v>1.5</v>
      </c>
      <c r="G47" s="59">
        <f>2*C47</f>
        <v>2</v>
      </c>
      <c r="H47" s="60">
        <f>(1.0858-1.0858)/(1.0858-1.0839)*C47</f>
        <v>0</v>
      </c>
      <c r="I47" s="96">
        <f>(1.0858-1.0858)/(1.0858-1.0839)*C47</f>
        <v>0</v>
      </c>
      <c r="J47" s="111">
        <f t="shared" ref="J47:N47" si="85">IF(E47="","",J45+T47)</f>
        <v>174744.413781739</v>
      </c>
      <c r="K47" s="111">
        <f t="shared" si="85"/>
        <v>198183.817548878</v>
      </c>
      <c r="L47" s="111">
        <f t="shared" si="85"/>
        <v>237758.460694914</v>
      </c>
      <c r="M47" s="111">
        <f t="shared" si="85"/>
        <v>260251.665153363</v>
      </c>
      <c r="N47" s="111">
        <f t="shared" si="85"/>
        <v>319442.233177798</v>
      </c>
      <c r="O47" s="98">
        <f t="shared" ref="O47:S47" si="86">IF(J45="","",J45*0.03)</f>
        <v>5049.93007749943</v>
      </c>
      <c r="P47" s="99">
        <f t="shared" si="86"/>
        <v>5689.48758513526</v>
      </c>
      <c r="Q47" s="99">
        <f t="shared" si="86"/>
        <v>6729.01303853529</v>
      </c>
      <c r="R47" s="99">
        <f t="shared" si="86"/>
        <v>7807.54995460088</v>
      </c>
      <c r="S47" s="99">
        <f t="shared" si="86"/>
        <v>9583.26699533393</v>
      </c>
      <c r="T47" s="98">
        <f>IF(E47="","",O47*E47)</f>
        <v>6413.41119842428</v>
      </c>
      <c r="U47" s="99">
        <f t="shared" ref="T47:X47" si="87">IF(F47="","",P47*F47)</f>
        <v>8534.23137770289</v>
      </c>
      <c r="V47" s="99">
        <f t="shared" si="87"/>
        <v>13458.0260770706</v>
      </c>
      <c r="W47" s="99">
        <f t="shared" si="87"/>
        <v>0</v>
      </c>
      <c r="X47" s="120">
        <f t="shared" si="87"/>
        <v>0</v>
      </c>
      <c r="Y47" s="142" t="s">
        <v>62</v>
      </c>
      <c r="Z47" s="162"/>
      <c r="AA47" s="160"/>
      <c r="AB47" s="135"/>
    </row>
    <row r="48" s="25" customFormat="1" spans="1:28">
      <c r="A48" s="76">
        <v>25</v>
      </c>
      <c r="B48" s="55">
        <v>43941</v>
      </c>
      <c r="C48" s="56">
        <f>C9</f>
        <v>1</v>
      </c>
      <c r="D48" s="77">
        <v>2</v>
      </c>
      <c r="E48" s="58">
        <f t="shared" si="84"/>
        <v>1.27</v>
      </c>
      <c r="F48" s="59">
        <f>1.5*C48</f>
        <v>1.5</v>
      </c>
      <c r="G48" s="59">
        <f>2*C48</f>
        <v>2</v>
      </c>
      <c r="H48" s="60">
        <f>(1.0854-1.0876)/(1.0876-1.0897)*C48</f>
        <v>1.04761904761904</v>
      </c>
      <c r="I48" s="96">
        <f>(1.0876-1.0876)/(1.0876-1.0897)*C48</f>
        <v>0</v>
      </c>
      <c r="J48" s="97">
        <f t="shared" ref="J48:N48" si="88">IF(E48="","",J47+T48)</f>
        <v>181402.175946823</v>
      </c>
      <c r="K48" s="97">
        <f t="shared" si="88"/>
        <v>207102.089338578</v>
      </c>
      <c r="L48" s="97">
        <f t="shared" si="88"/>
        <v>252023.968336608</v>
      </c>
      <c r="M48" s="97">
        <f t="shared" si="88"/>
        <v>268431.00320104</v>
      </c>
      <c r="N48" s="97">
        <f t="shared" si="88"/>
        <v>319442.233177798</v>
      </c>
      <c r="O48" s="98">
        <f t="shared" ref="O48:S48" si="89">IF(J47="","",J47*0.03)</f>
        <v>5242.33241345216</v>
      </c>
      <c r="P48" s="99">
        <f t="shared" si="89"/>
        <v>5945.51452646635</v>
      </c>
      <c r="Q48" s="99">
        <f t="shared" si="89"/>
        <v>7132.75382084741</v>
      </c>
      <c r="R48" s="99">
        <f t="shared" si="89"/>
        <v>7807.54995460088</v>
      </c>
      <c r="S48" s="99">
        <f t="shared" si="89"/>
        <v>9583.26699533393</v>
      </c>
      <c r="T48" s="98">
        <f t="shared" ref="T48:X48" si="90">IF(E48="","",O48*E48)</f>
        <v>6657.76216508424</v>
      </c>
      <c r="U48" s="99">
        <f t="shared" si="90"/>
        <v>8918.27178969952</v>
      </c>
      <c r="V48" s="99">
        <f t="shared" si="90"/>
        <v>14265.5076416948</v>
      </c>
      <c r="W48" s="99">
        <f t="shared" si="90"/>
        <v>8179.33804767707</v>
      </c>
      <c r="X48" s="120">
        <f t="shared" si="90"/>
        <v>0</v>
      </c>
      <c r="Y48" s="162"/>
      <c r="Z48" s="162"/>
      <c r="AA48" s="160"/>
      <c r="AB48" s="163"/>
    </row>
    <row r="49" s="23" customFormat="1" spans="1:28">
      <c r="A49" s="68">
        <v>26</v>
      </c>
      <c r="B49" s="69">
        <v>43941</v>
      </c>
      <c r="C49" s="70">
        <f>C7</f>
        <v>1</v>
      </c>
      <c r="D49" s="71">
        <v>1</v>
      </c>
      <c r="E49" s="72">
        <f t="shared" ref="E49:E51" si="91">-1*C49</f>
        <v>-1</v>
      </c>
      <c r="F49" s="73">
        <f t="shared" ref="F49:F52" si="92">-1*C49</f>
        <v>-1</v>
      </c>
      <c r="G49" s="73">
        <f t="shared" ref="G49:G52" si="93">-1*C49</f>
        <v>-1</v>
      </c>
      <c r="H49" s="74">
        <f t="shared" ref="H49:H52" si="94">-1*C49</f>
        <v>-1</v>
      </c>
      <c r="I49" s="104">
        <f t="shared" ref="I49:I52" si="95">-1*C49</f>
        <v>-1</v>
      </c>
      <c r="J49" s="105">
        <f t="shared" ref="J49:N49" si="96">IF(E49="","",J48+T49)</f>
        <v>175960.110668418</v>
      </c>
      <c r="K49" s="105">
        <f t="shared" si="96"/>
        <v>200889.02665842</v>
      </c>
      <c r="L49" s="105">
        <f t="shared" si="96"/>
        <v>244463.24928651</v>
      </c>
      <c r="M49" s="105">
        <f t="shared" si="96"/>
        <v>260378.073105008</v>
      </c>
      <c r="N49" s="105">
        <f t="shared" si="96"/>
        <v>309858.966182464</v>
      </c>
      <c r="O49" s="106">
        <f t="shared" ref="O49:S49" si="97">IF(J48="","",J48*0.03)</f>
        <v>5442.06527840469</v>
      </c>
      <c r="P49" s="107">
        <f t="shared" si="97"/>
        <v>6213.06268015733</v>
      </c>
      <c r="Q49" s="107">
        <f t="shared" si="97"/>
        <v>7560.71905009825</v>
      </c>
      <c r="R49" s="107">
        <f t="shared" si="97"/>
        <v>8052.93009603119</v>
      </c>
      <c r="S49" s="107">
        <f t="shared" si="97"/>
        <v>9583.26699533393</v>
      </c>
      <c r="T49" s="106">
        <f t="shared" ref="T49:X49" si="98">IF(E49="","",O49*E49)</f>
        <v>-5442.06527840469</v>
      </c>
      <c r="U49" s="107">
        <f t="shared" si="98"/>
        <v>-6213.06268015733</v>
      </c>
      <c r="V49" s="107">
        <f t="shared" si="98"/>
        <v>-7560.71905009825</v>
      </c>
      <c r="W49" s="107">
        <f t="shared" si="98"/>
        <v>-8052.93009603119</v>
      </c>
      <c r="X49" s="122">
        <f t="shared" si="98"/>
        <v>-9583.26699533393</v>
      </c>
      <c r="Y49" s="153" t="s">
        <v>62</v>
      </c>
      <c r="Z49" s="164"/>
      <c r="AA49" s="145"/>
      <c r="AB49" s="146"/>
    </row>
    <row r="50" s="23" customFormat="1" spans="1:28">
      <c r="A50" s="68">
        <v>27</v>
      </c>
      <c r="B50" s="69">
        <v>43941</v>
      </c>
      <c r="C50" s="70">
        <f>C7</f>
        <v>1</v>
      </c>
      <c r="D50" s="71">
        <v>1</v>
      </c>
      <c r="E50" s="72">
        <f t="shared" si="91"/>
        <v>-1</v>
      </c>
      <c r="F50" s="73">
        <f t="shared" si="92"/>
        <v>-1</v>
      </c>
      <c r="G50" s="73">
        <f t="shared" si="93"/>
        <v>-1</v>
      </c>
      <c r="H50" s="74">
        <f t="shared" si="94"/>
        <v>-1</v>
      </c>
      <c r="I50" s="104">
        <f t="shared" si="95"/>
        <v>-1</v>
      </c>
      <c r="J50" s="105">
        <f t="shared" ref="J50:N50" si="99">IF(E50="","",J49+T50)</f>
        <v>170681.307348366</v>
      </c>
      <c r="K50" s="105">
        <f t="shared" si="99"/>
        <v>194862.355858668</v>
      </c>
      <c r="L50" s="105">
        <f t="shared" si="99"/>
        <v>237129.351807915</v>
      </c>
      <c r="M50" s="105">
        <f t="shared" si="99"/>
        <v>252566.730911858</v>
      </c>
      <c r="N50" s="105">
        <f t="shared" si="99"/>
        <v>300563.19719699</v>
      </c>
      <c r="O50" s="106">
        <f t="shared" ref="O50:S50" si="100">IF(J49="","",J49*0.03)</f>
        <v>5278.80332005255</v>
      </c>
      <c r="P50" s="107">
        <f t="shared" si="100"/>
        <v>6026.67079975261</v>
      </c>
      <c r="Q50" s="107">
        <f t="shared" si="100"/>
        <v>7333.8974785953</v>
      </c>
      <c r="R50" s="107">
        <f t="shared" si="100"/>
        <v>7811.34219315025</v>
      </c>
      <c r="S50" s="107">
        <f t="shared" si="100"/>
        <v>9295.76898547391</v>
      </c>
      <c r="T50" s="106">
        <f t="shared" ref="T50:X50" si="101">IF(E50="","",O50*E50)</f>
        <v>-5278.80332005255</v>
      </c>
      <c r="U50" s="107">
        <f t="shared" si="101"/>
        <v>-6026.67079975261</v>
      </c>
      <c r="V50" s="107">
        <f t="shared" si="101"/>
        <v>-7333.8974785953</v>
      </c>
      <c r="W50" s="107">
        <f t="shared" si="101"/>
        <v>-7811.34219315025</v>
      </c>
      <c r="X50" s="122">
        <f t="shared" si="101"/>
        <v>-9295.76898547391</v>
      </c>
      <c r="Y50" s="153" t="s">
        <v>63</v>
      </c>
      <c r="Z50" s="164"/>
      <c r="AA50" s="145"/>
      <c r="AB50" s="146"/>
    </row>
    <row r="51" s="23" customFormat="1" spans="1:28">
      <c r="A51" s="68">
        <v>28</v>
      </c>
      <c r="B51" s="69">
        <v>43942</v>
      </c>
      <c r="C51" s="70">
        <f>C7</f>
        <v>1</v>
      </c>
      <c r="D51" s="71">
        <v>1</v>
      </c>
      <c r="E51" s="72">
        <f t="shared" si="91"/>
        <v>-1</v>
      </c>
      <c r="F51" s="73">
        <f t="shared" si="92"/>
        <v>-1</v>
      </c>
      <c r="G51" s="73">
        <f t="shared" si="93"/>
        <v>-1</v>
      </c>
      <c r="H51" s="74">
        <f t="shared" si="94"/>
        <v>-1</v>
      </c>
      <c r="I51" s="104">
        <f t="shared" si="95"/>
        <v>-1</v>
      </c>
      <c r="J51" s="105">
        <f t="shared" ref="J51:J56" si="102">IF(E51="","",J50+T51)</f>
        <v>165560.868127915</v>
      </c>
      <c r="K51" s="105">
        <f t="shared" ref="K51:K56" si="103">IF(F51="","",K50+U51)</f>
        <v>189016.485182908</v>
      </c>
      <c r="L51" s="105">
        <f t="shared" ref="L51:L56" si="104">IF(G51="","",L50+V51)</f>
        <v>230015.471253677</v>
      </c>
      <c r="M51" s="105">
        <f t="shared" ref="M51:M56" si="105">IF(H51="","",M50+W51)</f>
        <v>244989.728984502</v>
      </c>
      <c r="N51" s="105">
        <f t="shared" ref="N51:N58" si="106">IF(I51="","",N50+X51)</f>
        <v>291546.30128108</v>
      </c>
      <c r="O51" s="106">
        <f t="shared" ref="O51:O56" si="107">IF(J50="","",J50*0.03)</f>
        <v>5120.43922045097</v>
      </c>
      <c r="P51" s="107">
        <f t="shared" ref="P51:P56" si="108">IF(K50="","",K50*0.03)</f>
        <v>5845.87067576003</v>
      </c>
      <c r="Q51" s="107">
        <f t="shared" ref="Q51:Q56" si="109">IF(L50="","",L50*0.03)</f>
        <v>7113.88055423744</v>
      </c>
      <c r="R51" s="107">
        <f t="shared" ref="R51:R56" si="110">IF(M50="","",M50*0.03)</f>
        <v>7577.00192735574</v>
      </c>
      <c r="S51" s="107">
        <f t="shared" ref="S51:S58" si="111">IF(N50="","",N50*0.03)</f>
        <v>9016.8959159097</v>
      </c>
      <c r="T51" s="106">
        <f t="shared" ref="T51:X51" si="112">IF(E51="","",O51*E51)</f>
        <v>-5120.43922045097</v>
      </c>
      <c r="U51" s="107">
        <f t="shared" si="112"/>
        <v>-5845.87067576003</v>
      </c>
      <c r="V51" s="107">
        <f t="shared" si="112"/>
        <v>-7113.88055423744</v>
      </c>
      <c r="W51" s="107">
        <f t="shared" si="112"/>
        <v>-7577.00192735574</v>
      </c>
      <c r="X51" s="122">
        <f t="shared" si="112"/>
        <v>-9016.8959159097</v>
      </c>
      <c r="Y51" s="153" t="s">
        <v>63</v>
      </c>
      <c r="Z51" s="164"/>
      <c r="AA51" s="145"/>
      <c r="AB51" s="146"/>
    </row>
    <row r="52" s="23" customFormat="1" spans="1:28">
      <c r="A52" s="68">
        <v>29</v>
      </c>
      <c r="B52" s="69">
        <v>43942</v>
      </c>
      <c r="C52" s="70">
        <f>C7</f>
        <v>1</v>
      </c>
      <c r="D52" s="71">
        <v>1</v>
      </c>
      <c r="E52" s="72">
        <f t="shared" si="84"/>
        <v>1.27</v>
      </c>
      <c r="F52" s="73">
        <f t="shared" si="92"/>
        <v>-1</v>
      </c>
      <c r="G52" s="73">
        <f t="shared" si="93"/>
        <v>-1</v>
      </c>
      <c r="H52" s="74">
        <f t="shared" si="94"/>
        <v>-1</v>
      </c>
      <c r="I52" s="104">
        <f t="shared" si="95"/>
        <v>-1</v>
      </c>
      <c r="J52" s="105">
        <f t="shared" si="102"/>
        <v>171868.737203588</v>
      </c>
      <c r="K52" s="105">
        <f t="shared" si="103"/>
        <v>183345.990627421</v>
      </c>
      <c r="L52" s="105">
        <f t="shared" si="104"/>
        <v>223115.007116067</v>
      </c>
      <c r="M52" s="105">
        <f t="shared" si="105"/>
        <v>237640.037114967</v>
      </c>
      <c r="N52" s="105">
        <f t="shared" si="106"/>
        <v>282799.912242648</v>
      </c>
      <c r="O52" s="106">
        <f t="shared" si="107"/>
        <v>4966.82604383744</v>
      </c>
      <c r="P52" s="107">
        <f t="shared" si="108"/>
        <v>5670.49455548723</v>
      </c>
      <c r="Q52" s="107">
        <f t="shared" si="109"/>
        <v>6900.46413761032</v>
      </c>
      <c r="R52" s="107">
        <f t="shared" si="110"/>
        <v>7349.69186953507</v>
      </c>
      <c r="S52" s="107">
        <f t="shared" si="111"/>
        <v>8746.38903843241</v>
      </c>
      <c r="T52" s="106">
        <f t="shared" ref="T52:X52" si="113">IF(E52="","",O52*E52)</f>
        <v>6307.86907567355</v>
      </c>
      <c r="U52" s="107">
        <f t="shared" si="113"/>
        <v>-5670.49455548723</v>
      </c>
      <c r="V52" s="107">
        <f t="shared" si="113"/>
        <v>-6900.46413761032</v>
      </c>
      <c r="W52" s="107">
        <f t="shared" si="113"/>
        <v>-7349.69186953507</v>
      </c>
      <c r="X52" s="122">
        <f t="shared" si="113"/>
        <v>-8746.38903843241</v>
      </c>
      <c r="Y52" s="153" t="s">
        <v>64</v>
      </c>
      <c r="Z52" s="164"/>
      <c r="AA52" s="145"/>
      <c r="AB52" s="146"/>
    </row>
    <row r="53" s="23" customFormat="1" spans="1:28">
      <c r="A53" s="68">
        <v>30</v>
      </c>
      <c r="B53" s="69">
        <v>43943</v>
      </c>
      <c r="C53" s="70">
        <f>C9</f>
        <v>1</v>
      </c>
      <c r="D53" s="78">
        <v>2</v>
      </c>
      <c r="E53" s="72">
        <f t="shared" ref="E53:E55" si="114">-1*C53</f>
        <v>-1</v>
      </c>
      <c r="F53" s="73">
        <f t="shared" ref="F53:F55" si="115">-1*C53</f>
        <v>-1</v>
      </c>
      <c r="G53" s="73">
        <f t="shared" ref="G53:G55" si="116">-1*C53</f>
        <v>-1</v>
      </c>
      <c r="H53" s="74">
        <f t="shared" ref="H53:H55" si="117">-1*C53</f>
        <v>-1</v>
      </c>
      <c r="I53" s="104">
        <f t="shared" ref="I53:I55" si="118">-1*C53</f>
        <v>-1</v>
      </c>
      <c r="J53" s="105">
        <f t="shared" si="102"/>
        <v>166712.675087481</v>
      </c>
      <c r="K53" s="105">
        <f t="shared" si="103"/>
        <v>177845.610908598</v>
      </c>
      <c r="L53" s="105">
        <f t="shared" si="104"/>
        <v>216421.556902585</v>
      </c>
      <c r="M53" s="105">
        <f t="shared" si="105"/>
        <v>230510.836001518</v>
      </c>
      <c r="N53" s="105">
        <f t="shared" si="106"/>
        <v>274315.914875368</v>
      </c>
      <c r="O53" s="106">
        <f t="shared" si="107"/>
        <v>5156.06211610765</v>
      </c>
      <c r="P53" s="107">
        <f t="shared" si="108"/>
        <v>5500.37971882262</v>
      </c>
      <c r="Q53" s="107">
        <f t="shared" si="109"/>
        <v>6693.45021348201</v>
      </c>
      <c r="R53" s="107">
        <f t="shared" si="110"/>
        <v>7129.20111344902</v>
      </c>
      <c r="S53" s="107">
        <f t="shared" si="111"/>
        <v>8483.99736727943</v>
      </c>
      <c r="T53" s="106">
        <f t="shared" ref="T53:X53" si="119">IF(E53="","",O53*E53)</f>
        <v>-5156.06211610765</v>
      </c>
      <c r="U53" s="107">
        <f t="shared" si="119"/>
        <v>-5500.37971882262</v>
      </c>
      <c r="V53" s="107">
        <f t="shared" si="119"/>
        <v>-6693.45021348201</v>
      </c>
      <c r="W53" s="107">
        <f t="shared" si="119"/>
        <v>-7129.20111344902</v>
      </c>
      <c r="X53" s="122">
        <f t="shared" si="119"/>
        <v>-8483.99736727943</v>
      </c>
      <c r="Y53" s="164"/>
      <c r="Z53" s="164"/>
      <c r="AA53" s="145"/>
      <c r="AB53" s="146"/>
    </row>
    <row r="54" s="21" customFormat="1" spans="1:28">
      <c r="A54" s="47">
        <v>31</v>
      </c>
      <c r="B54" s="48">
        <v>43943</v>
      </c>
      <c r="C54" s="49">
        <f>C9</f>
        <v>1</v>
      </c>
      <c r="D54" s="79">
        <v>2</v>
      </c>
      <c r="E54" s="51">
        <f t="shared" ref="E54:E57" si="120">1.27*C54</f>
        <v>1.27</v>
      </c>
      <c r="F54" s="52">
        <f t="shared" ref="F54:F57" si="121">1.5*C54</f>
        <v>1.5</v>
      </c>
      <c r="G54" s="52">
        <f t="shared" ref="G54:G57" si="122">2*C54</f>
        <v>2</v>
      </c>
      <c r="H54" s="53">
        <f>(1.0835-1.0865)/(1.0865-1.0886)*C54</f>
        <v>1.42857142857149</v>
      </c>
      <c r="I54" s="92">
        <f>(1.0848-1.0876)/(1.0876-1.0897)*C54</f>
        <v>1.3333333333333</v>
      </c>
      <c r="J54" s="93">
        <f t="shared" si="102"/>
        <v>173064.428008314</v>
      </c>
      <c r="K54" s="93">
        <f t="shared" si="103"/>
        <v>185848.663399485</v>
      </c>
      <c r="L54" s="93">
        <f t="shared" si="104"/>
        <v>229406.85031674</v>
      </c>
      <c r="M54" s="93">
        <f t="shared" si="105"/>
        <v>240389.871830155</v>
      </c>
      <c r="N54" s="93">
        <f t="shared" si="106"/>
        <v>285288.551470383</v>
      </c>
      <c r="O54" s="94">
        <f t="shared" si="107"/>
        <v>5001.38025262442</v>
      </c>
      <c r="P54" s="95">
        <f t="shared" si="108"/>
        <v>5335.36832725794</v>
      </c>
      <c r="Q54" s="95">
        <f t="shared" si="109"/>
        <v>6492.64670707755</v>
      </c>
      <c r="R54" s="95">
        <f t="shared" si="110"/>
        <v>6915.32508004555</v>
      </c>
      <c r="S54" s="95">
        <f t="shared" si="111"/>
        <v>8229.47744626105</v>
      </c>
      <c r="T54" s="94">
        <f t="shared" ref="T54:X54" si="123">IF(E54="","",O54*E54)</f>
        <v>6351.75292083301</v>
      </c>
      <c r="U54" s="95">
        <f t="shared" si="123"/>
        <v>8003.05249088691</v>
      </c>
      <c r="V54" s="95">
        <f t="shared" si="123"/>
        <v>12985.2934141551</v>
      </c>
      <c r="W54" s="95">
        <f t="shared" si="123"/>
        <v>9879.03582863692</v>
      </c>
      <c r="X54" s="119">
        <f t="shared" si="123"/>
        <v>10972.6365950144</v>
      </c>
      <c r="Y54" s="137"/>
      <c r="Z54" s="165"/>
      <c r="AA54" s="131"/>
      <c r="AB54" s="132"/>
    </row>
    <row r="55" s="23" customFormat="1" spans="1:28">
      <c r="A55" s="68">
        <v>32</v>
      </c>
      <c r="B55" s="69">
        <v>43943</v>
      </c>
      <c r="C55" s="70">
        <f>C7</f>
        <v>1</v>
      </c>
      <c r="D55" s="71">
        <v>1</v>
      </c>
      <c r="E55" s="72">
        <f t="shared" si="114"/>
        <v>-1</v>
      </c>
      <c r="F55" s="73">
        <f t="shared" si="115"/>
        <v>-1</v>
      </c>
      <c r="G55" s="73">
        <f t="shared" si="116"/>
        <v>-1</v>
      </c>
      <c r="H55" s="74">
        <f t="shared" si="117"/>
        <v>-1</v>
      </c>
      <c r="I55" s="104">
        <f t="shared" si="118"/>
        <v>-1</v>
      </c>
      <c r="J55" s="105">
        <f t="shared" si="102"/>
        <v>167872.495168064</v>
      </c>
      <c r="K55" s="105">
        <f t="shared" si="103"/>
        <v>180273.2034975</v>
      </c>
      <c r="L55" s="105">
        <f t="shared" si="104"/>
        <v>222524.644807238</v>
      </c>
      <c r="M55" s="105">
        <f t="shared" si="105"/>
        <v>233178.175675251</v>
      </c>
      <c r="N55" s="105">
        <f t="shared" si="106"/>
        <v>276729.894926271</v>
      </c>
      <c r="O55" s="106">
        <f t="shared" si="107"/>
        <v>5191.93284024941</v>
      </c>
      <c r="P55" s="107">
        <f t="shared" si="108"/>
        <v>5575.45990198455</v>
      </c>
      <c r="Q55" s="107">
        <f t="shared" si="109"/>
        <v>6882.2055095022</v>
      </c>
      <c r="R55" s="107">
        <f t="shared" si="110"/>
        <v>7211.69615490466</v>
      </c>
      <c r="S55" s="107">
        <f t="shared" si="111"/>
        <v>8558.65654411149</v>
      </c>
      <c r="T55" s="106">
        <f t="shared" ref="T55:X55" si="124">IF(E55="","",O55*E55)</f>
        <v>-5191.93284024941</v>
      </c>
      <c r="U55" s="107">
        <f t="shared" si="124"/>
        <v>-5575.45990198455</v>
      </c>
      <c r="V55" s="107">
        <f t="shared" si="124"/>
        <v>-6882.2055095022</v>
      </c>
      <c r="W55" s="107">
        <f t="shared" si="124"/>
        <v>-7211.69615490466</v>
      </c>
      <c r="X55" s="122">
        <f t="shared" si="124"/>
        <v>-8558.65654411149</v>
      </c>
      <c r="Y55" s="153" t="s">
        <v>65</v>
      </c>
      <c r="Z55" s="164"/>
      <c r="AA55" s="145"/>
      <c r="AB55" s="146"/>
    </row>
    <row r="56" spans="1:28">
      <c r="A56" s="54">
        <v>33</v>
      </c>
      <c r="B56" s="55">
        <v>43944</v>
      </c>
      <c r="C56" s="56">
        <f>C9</f>
        <v>1</v>
      </c>
      <c r="D56" s="77">
        <v>2</v>
      </c>
      <c r="E56" s="58">
        <f t="shared" si="120"/>
        <v>1.27</v>
      </c>
      <c r="F56" s="59">
        <f t="shared" si="121"/>
        <v>1.5</v>
      </c>
      <c r="G56" s="59">
        <f t="shared" si="122"/>
        <v>2</v>
      </c>
      <c r="H56" s="60">
        <f>(1.0806-1.0806)/(1.0806-1.0848)*C56</f>
        <v>0</v>
      </c>
      <c r="I56" s="96">
        <f>(1.0806-1.0806)/(1.0806-1.0848)*C56</f>
        <v>0</v>
      </c>
      <c r="J56" s="97">
        <f t="shared" si="102"/>
        <v>174268.437233968</v>
      </c>
      <c r="K56" s="97">
        <f t="shared" si="103"/>
        <v>188385.497654888</v>
      </c>
      <c r="L56" s="97">
        <f t="shared" si="104"/>
        <v>235876.123495672</v>
      </c>
      <c r="M56" s="97">
        <f t="shared" si="105"/>
        <v>233178.175675251</v>
      </c>
      <c r="N56" s="97">
        <f t="shared" si="106"/>
        <v>276729.894926271</v>
      </c>
      <c r="O56" s="98">
        <f t="shared" si="107"/>
        <v>5036.17485504193</v>
      </c>
      <c r="P56" s="99">
        <f t="shared" si="108"/>
        <v>5408.19610492501</v>
      </c>
      <c r="Q56" s="99">
        <f t="shared" si="109"/>
        <v>6675.73934421714</v>
      </c>
      <c r="R56" s="99">
        <f t="shared" si="110"/>
        <v>6995.34527025752</v>
      </c>
      <c r="S56" s="99">
        <f t="shared" si="111"/>
        <v>8301.89684778814</v>
      </c>
      <c r="T56" s="98">
        <f t="shared" ref="T56:X56" si="125">IF(E56="","",O56*E56)</f>
        <v>6395.94206590325</v>
      </c>
      <c r="U56" s="99">
        <f t="shared" si="125"/>
        <v>8112.29415738751</v>
      </c>
      <c r="V56" s="99">
        <f t="shared" si="125"/>
        <v>13351.4786884343</v>
      </c>
      <c r="W56" s="99">
        <f t="shared" si="125"/>
        <v>0</v>
      </c>
      <c r="X56" s="120">
        <f t="shared" si="125"/>
        <v>0</v>
      </c>
      <c r="Y56" s="162"/>
      <c r="Z56" s="162"/>
      <c r="AA56" s="134"/>
      <c r="AB56" s="135"/>
    </row>
    <row r="57" s="21" customFormat="1" spans="1:28">
      <c r="A57" s="47">
        <v>34</v>
      </c>
      <c r="B57" s="48">
        <v>43945</v>
      </c>
      <c r="C57" s="49">
        <f>C4</f>
        <v>1</v>
      </c>
      <c r="D57" s="50">
        <v>1</v>
      </c>
      <c r="E57" s="51">
        <f t="shared" si="120"/>
        <v>1.27</v>
      </c>
      <c r="F57" s="52">
        <f t="shared" si="121"/>
        <v>1.5</v>
      </c>
      <c r="G57" s="52">
        <f t="shared" si="122"/>
        <v>2</v>
      </c>
      <c r="H57" s="53">
        <f>(1.0809-1.0752)/(1.0752-1.0725)*C57</f>
        <v>2.11111111111118</v>
      </c>
      <c r="I57" s="92">
        <f>(1.0831-1.0752)/(1.0752-1.0725)*C57</f>
        <v>2.92592592592601</v>
      </c>
      <c r="J57" s="93">
        <f t="shared" ref="J57:M57" si="126">IF(E57="","",J56+T57)</f>
        <v>180908.064692582</v>
      </c>
      <c r="K57" s="93">
        <f t="shared" si="126"/>
        <v>196862.845049358</v>
      </c>
      <c r="L57" s="93">
        <f t="shared" si="126"/>
        <v>250028.690905413</v>
      </c>
      <c r="M57" s="93">
        <f t="shared" si="126"/>
        <v>247946.12680135</v>
      </c>
      <c r="N57" s="93">
        <f t="shared" si="106"/>
        <v>301020.630147578</v>
      </c>
      <c r="O57" s="94">
        <f t="shared" ref="O57:R57" si="127">IF(J56="","",J56*0.03)</f>
        <v>5228.05311701903</v>
      </c>
      <c r="P57" s="95">
        <f t="shared" si="127"/>
        <v>5651.56492964663</v>
      </c>
      <c r="Q57" s="95">
        <f t="shared" si="127"/>
        <v>7076.28370487017</v>
      </c>
      <c r="R57" s="95">
        <f t="shared" si="127"/>
        <v>6995.34527025752</v>
      </c>
      <c r="S57" s="95">
        <f t="shared" si="111"/>
        <v>8301.89684778814</v>
      </c>
      <c r="T57" s="94">
        <f t="shared" ref="T57:X57" si="128">IF(E57="","",O57*E57)</f>
        <v>6639.62745861416</v>
      </c>
      <c r="U57" s="95">
        <f t="shared" si="128"/>
        <v>8477.34739446995</v>
      </c>
      <c r="V57" s="95">
        <f t="shared" si="128"/>
        <v>14152.5674097403</v>
      </c>
      <c r="W57" s="95">
        <f t="shared" si="128"/>
        <v>14767.9511260997</v>
      </c>
      <c r="X57" s="119">
        <f t="shared" si="128"/>
        <v>24290.7352213068</v>
      </c>
      <c r="Y57" s="165"/>
      <c r="Z57" s="165"/>
      <c r="AA57" s="131"/>
      <c r="AB57" s="132"/>
    </row>
    <row r="58" s="23" customFormat="1" spans="1:27">
      <c r="A58" s="80">
        <v>35</v>
      </c>
      <c r="B58" s="69">
        <v>43945</v>
      </c>
      <c r="C58" s="70">
        <f>C10</f>
        <v>1</v>
      </c>
      <c r="D58" s="78">
        <v>2</v>
      </c>
      <c r="E58" s="72">
        <f>-1*C58</f>
        <v>-1</v>
      </c>
      <c r="F58" s="73">
        <f>-1*C58</f>
        <v>-1</v>
      </c>
      <c r="G58" s="73">
        <f>-1*C58</f>
        <v>-1</v>
      </c>
      <c r="H58" s="74">
        <f>-1*C58</f>
        <v>-1</v>
      </c>
      <c r="I58" s="104">
        <f>-1*C58</f>
        <v>-1</v>
      </c>
      <c r="J58" s="105">
        <f t="shared" ref="J58:M58" si="129">IF(E58="","",J57+T58)</f>
        <v>175480.822751804</v>
      </c>
      <c r="K58" s="105">
        <f t="shared" si="129"/>
        <v>190956.959697877</v>
      </c>
      <c r="L58" s="105">
        <f t="shared" si="129"/>
        <v>242527.83017825</v>
      </c>
      <c r="M58" s="105">
        <f t="shared" si="129"/>
        <v>240507.74299731</v>
      </c>
      <c r="N58" s="105">
        <f t="shared" si="106"/>
        <v>291990.011243151</v>
      </c>
      <c r="O58" s="106">
        <f t="shared" ref="O58:R58" si="130">IF(J57="","",J57*0.03)</f>
        <v>5427.24194077745</v>
      </c>
      <c r="P58" s="107">
        <f t="shared" si="130"/>
        <v>5905.88535148073</v>
      </c>
      <c r="Q58" s="107">
        <f t="shared" si="130"/>
        <v>7500.86072716238</v>
      </c>
      <c r="R58" s="107">
        <f t="shared" si="130"/>
        <v>7438.38380404051</v>
      </c>
      <c r="S58" s="107">
        <f t="shared" si="111"/>
        <v>9030.61890442734</v>
      </c>
      <c r="T58" s="106">
        <f t="shared" ref="T58:X58" si="131">IF(E58="","",O58*E58)</f>
        <v>-5427.24194077745</v>
      </c>
      <c r="U58" s="107">
        <f t="shared" si="131"/>
        <v>-5905.88535148073</v>
      </c>
      <c r="V58" s="107">
        <f t="shared" si="131"/>
        <v>-7500.86072716238</v>
      </c>
      <c r="W58" s="107">
        <f t="shared" si="131"/>
        <v>-7438.38380404051</v>
      </c>
      <c r="X58" s="122">
        <f t="shared" si="131"/>
        <v>-9030.61890442734</v>
      </c>
      <c r="Y58" s="164"/>
      <c r="Z58" s="164"/>
      <c r="AA58" s="166"/>
    </row>
    <row r="59" ht="37.5" spans="1:27">
      <c r="A59" s="81"/>
      <c r="B59" s="55">
        <v>43948</v>
      </c>
      <c r="C59" s="56"/>
      <c r="D59" s="77"/>
      <c r="E59" s="82"/>
      <c r="F59" s="75"/>
      <c r="G59" s="75"/>
      <c r="H59" s="60"/>
      <c r="I59" s="112"/>
      <c r="J59" s="97"/>
      <c r="K59" s="97"/>
      <c r="L59" s="97"/>
      <c r="M59" s="97"/>
      <c r="N59" s="97"/>
      <c r="O59" s="98"/>
      <c r="P59" s="99"/>
      <c r="Q59" s="99"/>
      <c r="R59" s="99"/>
      <c r="S59" s="99"/>
      <c r="T59" s="98"/>
      <c r="U59" s="99"/>
      <c r="V59" s="99"/>
      <c r="W59" s="99"/>
      <c r="X59" s="120"/>
      <c r="Y59" s="142" t="s">
        <v>40</v>
      </c>
      <c r="Z59" s="162"/>
      <c r="AA59" s="167"/>
    </row>
    <row r="60" spans="1:27">
      <c r="A60" s="54">
        <v>36</v>
      </c>
      <c r="B60" s="55">
        <v>43949</v>
      </c>
      <c r="C60" s="56">
        <f>C8</f>
        <v>1</v>
      </c>
      <c r="D60" s="57">
        <v>1</v>
      </c>
      <c r="E60" s="58">
        <f t="shared" ref="E60:E64" si="132">1.27*C60</f>
        <v>1.27</v>
      </c>
      <c r="F60" s="59">
        <f t="shared" ref="F60:F64" si="133">1.5*C60</f>
        <v>1.5</v>
      </c>
      <c r="G60" s="59">
        <f t="shared" ref="G60:G64" si="134">2*C60</f>
        <v>2</v>
      </c>
      <c r="H60" s="60">
        <f t="shared" ref="H60:H63" si="135">(1.0826-1.0826)/(1.0826-1.0807)*C60</f>
        <v>0</v>
      </c>
      <c r="I60" s="96">
        <f t="shared" ref="I60:I64" si="136">(1.0826-1.0826)/(1.0826-1.0807)*C60</f>
        <v>0</v>
      </c>
      <c r="J60" s="97">
        <f t="shared" ref="J60:N60" si="137">IF(E60="","",J58+T60)</f>
        <v>182166.642098648</v>
      </c>
      <c r="K60" s="97">
        <f t="shared" si="137"/>
        <v>199550.022884281</v>
      </c>
      <c r="L60" s="97">
        <f t="shared" si="137"/>
        <v>257079.499988945</v>
      </c>
      <c r="M60" s="97">
        <f t="shared" si="137"/>
        <v>240507.74299731</v>
      </c>
      <c r="N60" s="97">
        <f t="shared" si="137"/>
        <v>291990.011243151</v>
      </c>
      <c r="O60" s="98">
        <f t="shared" ref="O60:S60" si="138">IF(J58="","",J58*0.03)</f>
        <v>5264.42468255413</v>
      </c>
      <c r="P60" s="99">
        <f t="shared" si="138"/>
        <v>5728.70879093631</v>
      </c>
      <c r="Q60" s="99">
        <f t="shared" si="138"/>
        <v>7275.8349053475</v>
      </c>
      <c r="R60" s="99">
        <f t="shared" si="138"/>
        <v>7215.23228991929</v>
      </c>
      <c r="S60" s="99">
        <f t="shared" si="138"/>
        <v>8759.70033729452</v>
      </c>
      <c r="T60" s="98">
        <f t="shared" ref="T60:X60" si="139">IF(E60="","",O60*E60)</f>
        <v>6685.81934684374</v>
      </c>
      <c r="U60" s="99">
        <f t="shared" si="139"/>
        <v>8593.06318640447</v>
      </c>
      <c r="V60" s="99">
        <f t="shared" si="139"/>
        <v>14551.669810695</v>
      </c>
      <c r="W60" s="99">
        <f t="shared" si="139"/>
        <v>0</v>
      </c>
      <c r="X60" s="120">
        <f t="shared" si="139"/>
        <v>0</v>
      </c>
      <c r="Y60" s="142" t="s">
        <v>66</v>
      </c>
      <c r="Z60" s="142" t="s">
        <v>43</v>
      </c>
      <c r="AA60" s="167"/>
    </row>
    <row r="61" spans="1:27">
      <c r="A61" s="54"/>
      <c r="B61" s="55">
        <v>43949</v>
      </c>
      <c r="C61" s="56"/>
      <c r="D61" s="57"/>
      <c r="E61" s="58"/>
      <c r="F61" s="59"/>
      <c r="G61" s="59"/>
      <c r="H61" s="60"/>
      <c r="I61" s="96"/>
      <c r="J61" s="108"/>
      <c r="K61" s="108"/>
      <c r="L61" s="108"/>
      <c r="M61" s="108"/>
      <c r="N61" s="108"/>
      <c r="O61" s="109"/>
      <c r="P61" s="110"/>
      <c r="Q61" s="110"/>
      <c r="R61" s="110"/>
      <c r="S61" s="110"/>
      <c r="T61" s="109"/>
      <c r="U61" s="110"/>
      <c r="V61" s="110"/>
      <c r="W61" s="110"/>
      <c r="X61" s="123"/>
      <c r="Y61" s="142" t="s">
        <v>67</v>
      </c>
      <c r="Z61" s="142" t="s">
        <v>68</v>
      </c>
      <c r="AA61" s="167"/>
    </row>
    <row r="62" spans="1:27">
      <c r="A62" s="54">
        <v>37</v>
      </c>
      <c r="B62" s="55">
        <v>43951</v>
      </c>
      <c r="C62" s="56">
        <f>C4</f>
        <v>1</v>
      </c>
      <c r="D62" s="57">
        <v>2</v>
      </c>
      <c r="E62" s="58">
        <f t="shared" si="132"/>
        <v>1.27</v>
      </c>
      <c r="F62" s="59">
        <f t="shared" si="133"/>
        <v>1.5</v>
      </c>
      <c r="G62" s="59">
        <f t="shared" si="134"/>
        <v>2</v>
      </c>
      <c r="H62" s="60">
        <f t="shared" si="135"/>
        <v>0</v>
      </c>
      <c r="I62" s="96">
        <f t="shared" si="136"/>
        <v>0</v>
      </c>
      <c r="J62" s="97">
        <f t="shared" ref="J62:N62" si="140">IF(E62="","",J60+T62)</f>
        <v>189107.191162606</v>
      </c>
      <c r="K62" s="97">
        <f t="shared" si="140"/>
        <v>208529.773914074</v>
      </c>
      <c r="L62" s="97">
        <f t="shared" si="140"/>
        <v>272504.269988282</v>
      </c>
      <c r="M62" s="97">
        <f t="shared" si="140"/>
        <v>240507.74299731</v>
      </c>
      <c r="N62" s="97">
        <f t="shared" si="140"/>
        <v>291990.011243151</v>
      </c>
      <c r="O62" s="98">
        <f t="shared" ref="O62:S62" si="141">IF(J60="","",J60*0.03)</f>
        <v>5464.99926295944</v>
      </c>
      <c r="P62" s="99">
        <f t="shared" si="141"/>
        <v>5986.50068652844</v>
      </c>
      <c r="Q62" s="99">
        <f t="shared" si="141"/>
        <v>7712.38499966835</v>
      </c>
      <c r="R62" s="99">
        <f t="shared" si="141"/>
        <v>7215.23228991929</v>
      </c>
      <c r="S62" s="99">
        <f t="shared" si="141"/>
        <v>8759.70033729452</v>
      </c>
      <c r="T62" s="98">
        <f t="shared" ref="T62:T75" si="142">IF(E62="","",O62*E62)</f>
        <v>6940.54906395849</v>
      </c>
      <c r="U62" s="99">
        <f t="shared" ref="U62:U75" si="143">IF(F62="","",P62*F62)</f>
        <v>8979.75102979267</v>
      </c>
      <c r="V62" s="99">
        <f t="shared" ref="V62:V75" si="144">IF(G62="","",Q62*G62)</f>
        <v>15424.7699993367</v>
      </c>
      <c r="W62" s="99">
        <f t="shared" ref="W62:W75" si="145">IF(H62="","",R62*H62)</f>
        <v>0</v>
      </c>
      <c r="X62" s="120">
        <f t="shared" ref="X62:X103" si="146">IF(I62="","",S62*I62)</f>
        <v>0</v>
      </c>
      <c r="Y62" s="162"/>
      <c r="Z62" s="162"/>
      <c r="AA62" s="167"/>
    </row>
    <row r="63" spans="1:27">
      <c r="A63" s="54">
        <v>38</v>
      </c>
      <c r="B63" s="55">
        <v>43951</v>
      </c>
      <c r="C63" s="56">
        <f>C10</f>
        <v>1</v>
      </c>
      <c r="D63" s="57">
        <v>1</v>
      </c>
      <c r="E63" s="58">
        <f t="shared" si="132"/>
        <v>1.27</v>
      </c>
      <c r="F63" s="59">
        <f t="shared" si="133"/>
        <v>1.5</v>
      </c>
      <c r="G63" s="59">
        <f t="shared" si="134"/>
        <v>2</v>
      </c>
      <c r="H63" s="60">
        <f>(1.0932-1.0877)/(1.0877-1.0834)*C63</f>
        <v>1.27906976744188</v>
      </c>
      <c r="I63" s="96">
        <f t="shared" si="136"/>
        <v>0</v>
      </c>
      <c r="J63" s="97">
        <f t="shared" ref="J62:J75" si="147">IF(E63="","",J62+T63)</f>
        <v>196312.175145902</v>
      </c>
      <c r="K63" s="97">
        <f t="shared" ref="K62:K75" si="148">IF(F63="","",K62+U63)</f>
        <v>217913.613740208</v>
      </c>
      <c r="L63" s="97">
        <f t="shared" ref="L62:L75" si="149">IF(G63="","",L62+V63)</f>
        <v>288854.526187579</v>
      </c>
      <c r="M63" s="97">
        <f t="shared" ref="M62:M75" si="150">IF(H63="","",M62+W63)</f>
        <v>249736.528484416</v>
      </c>
      <c r="N63" s="97">
        <f t="shared" ref="N63:N85" si="151">IF(I63="","",N62+X63)</f>
        <v>291990.011243151</v>
      </c>
      <c r="O63" s="98">
        <f t="shared" ref="O62:O75" si="152">IF(J62="","",J62*0.03)</f>
        <v>5673.21573487819</v>
      </c>
      <c r="P63" s="99">
        <f t="shared" ref="P62:P75" si="153">IF(K62="","",K62*0.03)</f>
        <v>6255.89321742223</v>
      </c>
      <c r="Q63" s="99">
        <f t="shared" ref="Q62:Q75" si="154">IF(L62="","",L62*0.03)</f>
        <v>8175.12809964846</v>
      </c>
      <c r="R63" s="99">
        <f t="shared" ref="R62:R75" si="155">IF(M62="","",M62*0.03)</f>
        <v>7215.23228991929</v>
      </c>
      <c r="S63" s="99">
        <f t="shared" ref="S63:S85" si="156">IF(N62="","",N62*0.03)</f>
        <v>8759.70033729452</v>
      </c>
      <c r="T63" s="98">
        <f t="shared" si="142"/>
        <v>7204.9839832953</v>
      </c>
      <c r="U63" s="99">
        <f t="shared" si="143"/>
        <v>9383.83982613334</v>
      </c>
      <c r="V63" s="99">
        <f t="shared" si="144"/>
        <v>16350.2561992969</v>
      </c>
      <c r="W63" s="99">
        <f t="shared" si="145"/>
        <v>9228.78548710624</v>
      </c>
      <c r="X63" s="120">
        <f t="shared" si="146"/>
        <v>0</v>
      </c>
      <c r="Y63" s="162"/>
      <c r="Z63" s="162"/>
      <c r="AA63" s="167"/>
    </row>
    <row r="64" s="21" customFormat="1" spans="1:27">
      <c r="A64" s="47">
        <v>39</v>
      </c>
      <c r="B64" s="48">
        <v>43952</v>
      </c>
      <c r="C64" s="49">
        <f>C4</f>
        <v>1</v>
      </c>
      <c r="D64" s="50">
        <v>2</v>
      </c>
      <c r="E64" s="51">
        <f t="shared" si="132"/>
        <v>1.27</v>
      </c>
      <c r="F64" s="52">
        <f t="shared" si="133"/>
        <v>1.5</v>
      </c>
      <c r="G64" s="52">
        <f t="shared" si="134"/>
        <v>2</v>
      </c>
      <c r="H64" s="53">
        <f>(1.0817-1.0993)/(1.0993-1.1019)*C64</f>
        <v>6.7692307692303</v>
      </c>
      <c r="I64" s="92">
        <f>(1.0817-1.0993)/(1.0993-1.1019)*C64</f>
        <v>6.7692307692303</v>
      </c>
      <c r="J64" s="93">
        <f t="shared" si="147"/>
        <v>203791.669018961</v>
      </c>
      <c r="K64" s="93">
        <f t="shared" si="148"/>
        <v>227719.726358517</v>
      </c>
      <c r="L64" s="93">
        <f t="shared" si="149"/>
        <v>306185.797758834</v>
      </c>
      <c r="M64" s="93">
        <f t="shared" si="150"/>
        <v>300452.25426894</v>
      </c>
      <c r="N64" s="93">
        <f t="shared" si="151"/>
        <v>351286.444295602</v>
      </c>
      <c r="O64" s="94">
        <f t="shared" si="152"/>
        <v>5889.36525437705</v>
      </c>
      <c r="P64" s="95">
        <f t="shared" si="153"/>
        <v>6537.40841220622</v>
      </c>
      <c r="Q64" s="95">
        <f t="shared" si="154"/>
        <v>8665.63578562736</v>
      </c>
      <c r="R64" s="95">
        <f t="shared" si="155"/>
        <v>7492.09585453248</v>
      </c>
      <c r="S64" s="95">
        <f t="shared" si="156"/>
        <v>8759.70033729452</v>
      </c>
      <c r="T64" s="94">
        <f t="shared" si="142"/>
        <v>7479.49387305886</v>
      </c>
      <c r="U64" s="95">
        <f t="shared" si="143"/>
        <v>9806.11261830934</v>
      </c>
      <c r="V64" s="95">
        <f t="shared" si="144"/>
        <v>17331.2715712547</v>
      </c>
      <c r="W64" s="95">
        <f t="shared" si="145"/>
        <v>50715.725784524</v>
      </c>
      <c r="X64" s="119">
        <f t="shared" si="146"/>
        <v>59296.4330524511</v>
      </c>
      <c r="Y64" s="165"/>
      <c r="Z64" s="165"/>
      <c r="AA64" s="168"/>
    </row>
    <row r="65" s="23" customFormat="1" spans="1:27">
      <c r="A65" s="68">
        <v>40</v>
      </c>
      <c r="B65" s="69">
        <v>43957</v>
      </c>
      <c r="C65" s="70">
        <f>C4</f>
        <v>1</v>
      </c>
      <c r="D65" s="71">
        <v>1</v>
      </c>
      <c r="E65" s="72">
        <f t="shared" ref="E65:E69" si="157">-1*C65</f>
        <v>-1</v>
      </c>
      <c r="F65" s="73">
        <f t="shared" ref="F65:F69" si="158">-1*C65</f>
        <v>-1</v>
      </c>
      <c r="G65" s="73">
        <f t="shared" ref="G65:G69" si="159">-1*C65</f>
        <v>-1</v>
      </c>
      <c r="H65" s="74">
        <f t="shared" ref="H65:H69" si="160">-1*C65</f>
        <v>-1</v>
      </c>
      <c r="I65" s="104">
        <f t="shared" ref="I65:I69" si="161">-1*C65</f>
        <v>-1</v>
      </c>
      <c r="J65" s="105">
        <f t="shared" si="147"/>
        <v>197677.918948392</v>
      </c>
      <c r="K65" s="105">
        <f t="shared" si="148"/>
        <v>220888.134567761</v>
      </c>
      <c r="L65" s="105">
        <f t="shared" si="149"/>
        <v>297000.223826069</v>
      </c>
      <c r="M65" s="105">
        <f t="shared" si="150"/>
        <v>291438.686640872</v>
      </c>
      <c r="N65" s="105">
        <f t="shared" si="151"/>
        <v>340747.850966734</v>
      </c>
      <c r="O65" s="106">
        <f t="shared" si="152"/>
        <v>6113.75007056882</v>
      </c>
      <c r="P65" s="107">
        <f t="shared" si="153"/>
        <v>6831.5917907555</v>
      </c>
      <c r="Q65" s="107">
        <f t="shared" si="154"/>
        <v>9185.573932765</v>
      </c>
      <c r="R65" s="107">
        <f t="shared" si="155"/>
        <v>9013.5676280682</v>
      </c>
      <c r="S65" s="107">
        <f t="shared" si="156"/>
        <v>10538.5933288681</v>
      </c>
      <c r="T65" s="106">
        <f t="shared" si="142"/>
        <v>-6113.75007056882</v>
      </c>
      <c r="U65" s="107">
        <f t="shared" si="143"/>
        <v>-6831.5917907555</v>
      </c>
      <c r="V65" s="107">
        <f t="shared" si="144"/>
        <v>-9185.573932765</v>
      </c>
      <c r="W65" s="107">
        <f t="shared" si="145"/>
        <v>-9013.5676280682</v>
      </c>
      <c r="X65" s="122">
        <f t="shared" si="146"/>
        <v>-10538.5933288681</v>
      </c>
      <c r="Y65" s="164"/>
      <c r="Z65" s="164"/>
      <c r="AA65" s="166"/>
    </row>
    <row r="66" s="23" customFormat="1" spans="1:27">
      <c r="A66" s="68">
        <v>41</v>
      </c>
      <c r="B66" s="69">
        <v>43958</v>
      </c>
      <c r="C66" s="70">
        <f>C10</f>
        <v>1</v>
      </c>
      <c r="D66" s="71">
        <v>2</v>
      </c>
      <c r="E66" s="72">
        <f t="shared" si="157"/>
        <v>-1</v>
      </c>
      <c r="F66" s="73">
        <f t="shared" si="158"/>
        <v>-1</v>
      </c>
      <c r="G66" s="73">
        <f t="shared" si="159"/>
        <v>-1</v>
      </c>
      <c r="H66" s="74">
        <f t="shared" si="160"/>
        <v>-1</v>
      </c>
      <c r="I66" s="104">
        <f t="shared" si="161"/>
        <v>-1</v>
      </c>
      <c r="J66" s="105">
        <f t="shared" si="147"/>
        <v>191747.58137994</v>
      </c>
      <c r="K66" s="105">
        <f t="shared" si="148"/>
        <v>214261.490530728</v>
      </c>
      <c r="L66" s="105">
        <f t="shared" si="149"/>
        <v>288090.217111286</v>
      </c>
      <c r="M66" s="105">
        <f t="shared" si="150"/>
        <v>282695.526041646</v>
      </c>
      <c r="N66" s="105">
        <f t="shared" si="151"/>
        <v>330525.415437732</v>
      </c>
      <c r="O66" s="106">
        <f t="shared" si="152"/>
        <v>5930.33756845175</v>
      </c>
      <c r="P66" s="107">
        <f t="shared" si="153"/>
        <v>6626.64403703284</v>
      </c>
      <c r="Q66" s="107">
        <f t="shared" si="154"/>
        <v>8910.00671478206</v>
      </c>
      <c r="R66" s="107">
        <f t="shared" si="155"/>
        <v>8743.16059922616</v>
      </c>
      <c r="S66" s="107">
        <f t="shared" si="156"/>
        <v>10222.435529002</v>
      </c>
      <c r="T66" s="106">
        <f t="shared" si="142"/>
        <v>-5930.33756845175</v>
      </c>
      <c r="U66" s="107">
        <f t="shared" si="143"/>
        <v>-6626.64403703284</v>
      </c>
      <c r="V66" s="107">
        <f t="shared" si="144"/>
        <v>-8910.00671478206</v>
      </c>
      <c r="W66" s="107">
        <f t="shared" si="145"/>
        <v>-8743.16059922616</v>
      </c>
      <c r="X66" s="122">
        <f t="shared" si="146"/>
        <v>-10222.435529002</v>
      </c>
      <c r="Y66" s="164"/>
      <c r="Z66" s="164"/>
      <c r="AA66" s="166"/>
    </row>
    <row r="67" spans="1:27">
      <c r="A67" s="54">
        <v>42</v>
      </c>
      <c r="B67" s="55">
        <v>43959</v>
      </c>
      <c r="C67" s="56">
        <f>C11</f>
        <v>1</v>
      </c>
      <c r="D67" s="57">
        <v>2</v>
      </c>
      <c r="E67" s="58">
        <f t="shared" ref="E67:E74" si="162">1.27*C67</f>
        <v>1.27</v>
      </c>
      <c r="F67" s="59">
        <f t="shared" ref="F67:F74" si="163">1.5*C67</f>
        <v>1.5</v>
      </c>
      <c r="G67" s="59">
        <f t="shared" ref="G67:G74" si="164">2*C67</f>
        <v>2</v>
      </c>
      <c r="H67" s="60">
        <f>(1.0847-1.0847)/(1.0847-1.0876)*C67</f>
        <v>0</v>
      </c>
      <c r="I67" s="96">
        <f>(1.0847-1.0847)/(1.0847-1.0876)*C67</f>
        <v>0</v>
      </c>
      <c r="J67" s="97">
        <f t="shared" si="147"/>
        <v>199053.164230516</v>
      </c>
      <c r="K67" s="97">
        <f t="shared" si="148"/>
        <v>223903.257604611</v>
      </c>
      <c r="L67" s="97">
        <f t="shared" si="149"/>
        <v>305375.630137964</v>
      </c>
      <c r="M67" s="97">
        <f t="shared" si="150"/>
        <v>282695.526041646</v>
      </c>
      <c r="N67" s="97">
        <f t="shared" si="151"/>
        <v>330525.415437732</v>
      </c>
      <c r="O67" s="98">
        <f t="shared" si="152"/>
        <v>5752.4274413982</v>
      </c>
      <c r="P67" s="99">
        <f t="shared" si="153"/>
        <v>6427.84471592185</v>
      </c>
      <c r="Q67" s="99">
        <f t="shared" si="154"/>
        <v>8642.70651333859</v>
      </c>
      <c r="R67" s="99">
        <f t="shared" si="155"/>
        <v>8480.86578124937</v>
      </c>
      <c r="S67" s="99">
        <f t="shared" si="156"/>
        <v>9915.76246313196</v>
      </c>
      <c r="T67" s="98">
        <f t="shared" si="142"/>
        <v>7305.58285057571</v>
      </c>
      <c r="U67" s="99">
        <f t="shared" si="143"/>
        <v>9641.76707388278</v>
      </c>
      <c r="V67" s="99">
        <f t="shared" si="144"/>
        <v>17285.4130266772</v>
      </c>
      <c r="W67" s="99">
        <f t="shared" si="145"/>
        <v>0</v>
      </c>
      <c r="X67" s="120">
        <f t="shared" si="146"/>
        <v>0</v>
      </c>
      <c r="Y67" s="162"/>
      <c r="Z67" s="162"/>
      <c r="AA67" s="167"/>
    </row>
    <row r="68" s="23" customFormat="1" spans="1:27">
      <c r="A68" s="68">
        <v>43</v>
      </c>
      <c r="B68" s="69">
        <v>43962</v>
      </c>
      <c r="C68" s="70">
        <f>C8</f>
        <v>1</v>
      </c>
      <c r="D68" s="78">
        <v>1</v>
      </c>
      <c r="E68" s="72">
        <f t="shared" si="157"/>
        <v>-1</v>
      </c>
      <c r="F68" s="73">
        <f t="shared" si="158"/>
        <v>-1</v>
      </c>
      <c r="G68" s="73">
        <f t="shared" si="159"/>
        <v>-1</v>
      </c>
      <c r="H68" s="74">
        <f t="shared" si="160"/>
        <v>-1</v>
      </c>
      <c r="I68" s="104">
        <f t="shared" si="161"/>
        <v>-1</v>
      </c>
      <c r="J68" s="105">
        <f t="shared" si="147"/>
        <v>193081.5693036</v>
      </c>
      <c r="K68" s="105">
        <f t="shared" si="148"/>
        <v>217186.159876473</v>
      </c>
      <c r="L68" s="105">
        <f t="shared" si="149"/>
        <v>296214.361233825</v>
      </c>
      <c r="M68" s="105">
        <f t="shared" si="150"/>
        <v>274214.660260396</v>
      </c>
      <c r="N68" s="105">
        <f t="shared" si="151"/>
        <v>320609.6529746</v>
      </c>
      <c r="O68" s="106">
        <f t="shared" si="152"/>
        <v>5971.59492691547</v>
      </c>
      <c r="P68" s="107">
        <f t="shared" si="153"/>
        <v>6717.09772813834</v>
      </c>
      <c r="Q68" s="107">
        <f t="shared" si="154"/>
        <v>9161.26890413891</v>
      </c>
      <c r="R68" s="107">
        <f t="shared" si="155"/>
        <v>8480.86578124937</v>
      </c>
      <c r="S68" s="107">
        <f t="shared" si="156"/>
        <v>9915.76246313196</v>
      </c>
      <c r="T68" s="106">
        <f t="shared" si="142"/>
        <v>-5971.59492691547</v>
      </c>
      <c r="U68" s="107">
        <f t="shared" si="143"/>
        <v>-6717.09772813834</v>
      </c>
      <c r="V68" s="107">
        <f t="shared" si="144"/>
        <v>-9161.26890413891</v>
      </c>
      <c r="W68" s="107">
        <f t="shared" si="145"/>
        <v>-8480.86578124937</v>
      </c>
      <c r="X68" s="122">
        <f t="shared" si="146"/>
        <v>-9915.76246313196</v>
      </c>
      <c r="Y68" s="164"/>
      <c r="Z68" s="164"/>
      <c r="AA68" s="166"/>
    </row>
    <row r="69" s="23" customFormat="1" spans="1:27">
      <c r="A69" s="68">
        <v>44</v>
      </c>
      <c r="B69" s="69">
        <v>43966</v>
      </c>
      <c r="C69" s="70">
        <f>C10</f>
        <v>1</v>
      </c>
      <c r="D69" s="71">
        <v>2</v>
      </c>
      <c r="E69" s="72">
        <f t="shared" si="157"/>
        <v>-1</v>
      </c>
      <c r="F69" s="73">
        <f t="shared" si="158"/>
        <v>-1</v>
      </c>
      <c r="G69" s="73">
        <f t="shared" si="159"/>
        <v>-1</v>
      </c>
      <c r="H69" s="74">
        <f t="shared" si="160"/>
        <v>-1</v>
      </c>
      <c r="I69" s="104">
        <f t="shared" si="161"/>
        <v>-1</v>
      </c>
      <c r="J69" s="105">
        <f t="shared" si="147"/>
        <v>187289.122224492</v>
      </c>
      <c r="K69" s="105">
        <f t="shared" si="148"/>
        <v>210670.575080179</v>
      </c>
      <c r="L69" s="105">
        <f t="shared" si="149"/>
        <v>287327.93039681</v>
      </c>
      <c r="M69" s="105">
        <f t="shared" si="150"/>
        <v>265988.220452585</v>
      </c>
      <c r="N69" s="105">
        <f t="shared" si="151"/>
        <v>310991.363385362</v>
      </c>
      <c r="O69" s="106">
        <f t="shared" si="152"/>
        <v>5792.44707910801</v>
      </c>
      <c r="P69" s="107">
        <f t="shared" si="153"/>
        <v>6515.58479629419</v>
      </c>
      <c r="Q69" s="107">
        <f t="shared" si="154"/>
        <v>8886.43083701474</v>
      </c>
      <c r="R69" s="107">
        <f t="shared" si="155"/>
        <v>8226.43980781189</v>
      </c>
      <c r="S69" s="107">
        <f t="shared" si="156"/>
        <v>9618.289589238</v>
      </c>
      <c r="T69" s="106">
        <f t="shared" si="142"/>
        <v>-5792.44707910801</v>
      </c>
      <c r="U69" s="107">
        <f t="shared" si="143"/>
        <v>-6515.58479629419</v>
      </c>
      <c r="V69" s="107">
        <f t="shared" si="144"/>
        <v>-8886.43083701474</v>
      </c>
      <c r="W69" s="107">
        <f t="shared" si="145"/>
        <v>-8226.43980781189</v>
      </c>
      <c r="X69" s="122">
        <f t="shared" si="146"/>
        <v>-9618.289589238</v>
      </c>
      <c r="Y69" s="164"/>
      <c r="Z69" s="164"/>
      <c r="AA69" s="166"/>
    </row>
    <row r="70" s="21" customFormat="1" spans="1:27">
      <c r="A70" s="47">
        <v>45</v>
      </c>
      <c r="B70" s="48">
        <v>43969</v>
      </c>
      <c r="C70" s="49">
        <f>C6</f>
        <v>1</v>
      </c>
      <c r="D70" s="50">
        <v>1</v>
      </c>
      <c r="E70" s="51">
        <f t="shared" si="162"/>
        <v>1.27</v>
      </c>
      <c r="F70" s="52">
        <f t="shared" si="163"/>
        <v>1.5</v>
      </c>
      <c r="G70" s="52">
        <f t="shared" si="164"/>
        <v>2</v>
      </c>
      <c r="H70" s="53">
        <f>(1.095-1.081)/(1.081-1.0798)*C70</f>
        <v>11.666666666668</v>
      </c>
      <c r="I70" s="92">
        <f>(1.095-1.081)/(1.081-1.0798)*C70</f>
        <v>11.666666666668</v>
      </c>
      <c r="J70" s="93">
        <f t="shared" ref="J70:M70" si="165">IF(E70="","",J69+T70)</f>
        <v>194424.837781245</v>
      </c>
      <c r="K70" s="93">
        <f t="shared" si="165"/>
        <v>220150.750958787</v>
      </c>
      <c r="L70" s="93">
        <f t="shared" si="165"/>
        <v>304567.606220619</v>
      </c>
      <c r="M70" s="93">
        <f t="shared" si="165"/>
        <v>359084.097610999</v>
      </c>
      <c r="N70" s="93">
        <f t="shared" si="151"/>
        <v>419838.340570251</v>
      </c>
      <c r="O70" s="94">
        <f t="shared" ref="O70:R70" si="166">IF(J69="","",J69*0.03)</f>
        <v>5618.67366673477</v>
      </c>
      <c r="P70" s="95">
        <f t="shared" si="166"/>
        <v>6320.11725240536</v>
      </c>
      <c r="Q70" s="95">
        <f t="shared" si="166"/>
        <v>8619.8379119043</v>
      </c>
      <c r="R70" s="95">
        <f t="shared" si="166"/>
        <v>7979.64661357753</v>
      </c>
      <c r="S70" s="95">
        <f t="shared" si="156"/>
        <v>9329.74090156086</v>
      </c>
      <c r="T70" s="94">
        <f t="shared" si="142"/>
        <v>7135.71555675315</v>
      </c>
      <c r="U70" s="95">
        <f t="shared" si="143"/>
        <v>9480.17587860804</v>
      </c>
      <c r="V70" s="95">
        <f t="shared" si="144"/>
        <v>17239.6758238086</v>
      </c>
      <c r="W70" s="95">
        <f t="shared" si="145"/>
        <v>93095.8771584149</v>
      </c>
      <c r="X70" s="119">
        <f t="shared" si="146"/>
        <v>108846.977184889</v>
      </c>
      <c r="Y70" s="165"/>
      <c r="Z70" s="165"/>
      <c r="AA70" s="168"/>
    </row>
    <row r="71" s="23" customFormat="1" spans="1:27">
      <c r="A71" s="68">
        <v>46</v>
      </c>
      <c r="B71" s="69">
        <v>43971</v>
      </c>
      <c r="C71" s="70">
        <f>C4</f>
        <v>1</v>
      </c>
      <c r="D71" s="71">
        <v>2</v>
      </c>
      <c r="E71" s="72">
        <f>-1*C71</f>
        <v>-1</v>
      </c>
      <c r="F71" s="73">
        <f>-1*C71</f>
        <v>-1</v>
      </c>
      <c r="G71" s="73">
        <f>-1*C71</f>
        <v>-1</v>
      </c>
      <c r="H71" s="74">
        <f>-1*C71</f>
        <v>-1</v>
      </c>
      <c r="I71" s="104">
        <f>-1*C71</f>
        <v>-1</v>
      </c>
      <c r="J71" s="105">
        <f t="shared" ref="J71:M71" si="167">IF(E71="","",J70+T71)</f>
        <v>188592.092647808</v>
      </c>
      <c r="K71" s="105">
        <f t="shared" si="167"/>
        <v>213546.228430023</v>
      </c>
      <c r="L71" s="105">
        <f t="shared" si="167"/>
        <v>295430.578034</v>
      </c>
      <c r="M71" s="105">
        <f t="shared" si="167"/>
        <v>348311.574682669</v>
      </c>
      <c r="N71" s="105">
        <f t="shared" si="151"/>
        <v>407243.190353143</v>
      </c>
      <c r="O71" s="106">
        <f t="shared" ref="O71:R71" si="168">IF(J70="","",J70*0.03)</f>
        <v>5832.74513343736</v>
      </c>
      <c r="P71" s="107">
        <f t="shared" si="168"/>
        <v>6604.5225287636</v>
      </c>
      <c r="Q71" s="107">
        <f t="shared" si="168"/>
        <v>9137.02818661856</v>
      </c>
      <c r="R71" s="107">
        <f t="shared" si="168"/>
        <v>10772.52292833</v>
      </c>
      <c r="S71" s="107">
        <f t="shared" si="156"/>
        <v>12595.1502171075</v>
      </c>
      <c r="T71" s="106">
        <f t="shared" si="142"/>
        <v>-5832.74513343736</v>
      </c>
      <c r="U71" s="107">
        <f t="shared" si="143"/>
        <v>-6604.5225287636</v>
      </c>
      <c r="V71" s="107">
        <f t="shared" si="144"/>
        <v>-9137.02818661856</v>
      </c>
      <c r="W71" s="107">
        <f t="shared" si="145"/>
        <v>-10772.52292833</v>
      </c>
      <c r="X71" s="122">
        <f t="shared" si="146"/>
        <v>-12595.1502171075</v>
      </c>
      <c r="Y71" s="164"/>
      <c r="Z71" s="164"/>
      <c r="AA71" s="166"/>
    </row>
    <row r="72" spans="1:27">
      <c r="A72" s="54">
        <v>47</v>
      </c>
      <c r="B72" s="55">
        <v>43972</v>
      </c>
      <c r="C72" s="56">
        <f>C4</f>
        <v>1</v>
      </c>
      <c r="D72" s="57">
        <v>2</v>
      </c>
      <c r="E72" s="58">
        <f t="shared" si="162"/>
        <v>1.27</v>
      </c>
      <c r="F72" s="59">
        <f t="shared" si="163"/>
        <v>1.5</v>
      </c>
      <c r="G72" s="59">
        <f t="shared" si="164"/>
        <v>2</v>
      </c>
      <c r="H72" s="60">
        <f>(1.0909-1.098)/(1.098-1.1009)*C72</f>
        <v>2.44827586206908</v>
      </c>
      <c r="I72" s="96">
        <f t="shared" ref="I72:I74" si="169">(1.098-1.098)/(1.098-1.1009)*C72</f>
        <v>0</v>
      </c>
      <c r="J72" s="97">
        <f t="shared" ref="J72:M72" si="170">IF(E72="","",J71+T72)</f>
        <v>195777.45137769</v>
      </c>
      <c r="K72" s="97">
        <f t="shared" si="170"/>
        <v>223155.808709374</v>
      </c>
      <c r="L72" s="97">
        <f t="shared" si="170"/>
        <v>313156.41271604</v>
      </c>
      <c r="M72" s="97">
        <f t="shared" si="170"/>
        <v>373894.459305915</v>
      </c>
      <c r="N72" s="97">
        <f t="shared" si="151"/>
        <v>407243.190353143</v>
      </c>
      <c r="O72" s="98">
        <f>IF(J71="","",J71*0.03)</f>
        <v>5657.76277943424</v>
      </c>
      <c r="P72" s="99">
        <f t="shared" ref="O72:R72" si="171">IF(K71="","",K71*0.03)</f>
        <v>6406.38685290069</v>
      </c>
      <c r="Q72" s="99">
        <f t="shared" si="171"/>
        <v>8862.91734102</v>
      </c>
      <c r="R72" s="99">
        <f t="shared" si="171"/>
        <v>10449.3472404801</v>
      </c>
      <c r="S72" s="99">
        <f t="shared" si="156"/>
        <v>12217.2957105943</v>
      </c>
      <c r="T72" s="98">
        <f t="shared" ref="T72:T85" si="172">IF(E72="","",O72*E72)</f>
        <v>7185.35872988149</v>
      </c>
      <c r="U72" s="99">
        <f t="shared" ref="U72:U85" si="173">IF(F72="","",P72*F72)</f>
        <v>9609.58027935104</v>
      </c>
      <c r="V72" s="99">
        <f t="shared" ref="V72:V85" si="174">IF(G72="","",Q72*G72)</f>
        <v>17725.83468204</v>
      </c>
      <c r="W72" s="99">
        <f t="shared" ref="W72:W85" si="175">IF(H72="","",R72*H72)</f>
        <v>25582.8846232456</v>
      </c>
      <c r="X72" s="120">
        <f t="shared" si="146"/>
        <v>0</v>
      </c>
      <c r="Y72" s="162"/>
      <c r="Z72" s="162"/>
      <c r="AA72" s="169" t="s">
        <v>69</v>
      </c>
    </row>
    <row r="73" s="21" customFormat="1" spans="1:27">
      <c r="A73" s="47">
        <v>48</v>
      </c>
      <c r="B73" s="48">
        <v>43976</v>
      </c>
      <c r="C73" s="49">
        <f>C4</f>
        <v>1</v>
      </c>
      <c r="D73" s="50">
        <v>1</v>
      </c>
      <c r="E73" s="51">
        <f t="shared" si="162"/>
        <v>1.27</v>
      </c>
      <c r="F73" s="52">
        <f t="shared" si="163"/>
        <v>1.5</v>
      </c>
      <c r="G73" s="52">
        <f t="shared" si="164"/>
        <v>2</v>
      </c>
      <c r="H73" s="53">
        <f>(1.0949-1.0883)/(1.0883-1.0868)*C73</f>
        <v>4.39999999999979</v>
      </c>
      <c r="I73" s="92">
        <f>(1.1276-1.0883)/(1.0883-1.0868)*C73</f>
        <v>26.1999999999989</v>
      </c>
      <c r="J73" s="93">
        <f t="shared" ref="J73:M73" si="176">IF(E73="","",J72+T73)</f>
        <v>203236.572275179</v>
      </c>
      <c r="K73" s="93">
        <f t="shared" si="176"/>
        <v>233197.820101296</v>
      </c>
      <c r="L73" s="93">
        <f t="shared" si="176"/>
        <v>331945.797479002</v>
      </c>
      <c r="M73" s="93">
        <f t="shared" si="176"/>
        <v>423248.527934293</v>
      </c>
      <c r="N73" s="93">
        <f t="shared" si="151"/>
        <v>727336.337970701</v>
      </c>
      <c r="O73" s="94">
        <f t="shared" ref="O73:R73" si="177">IF(J72="","",J72*0.03)</f>
        <v>5873.32354133069</v>
      </c>
      <c r="P73" s="95">
        <f t="shared" si="177"/>
        <v>6694.67426128123</v>
      </c>
      <c r="Q73" s="95">
        <f t="shared" si="177"/>
        <v>9394.6923814812</v>
      </c>
      <c r="R73" s="95">
        <f t="shared" si="177"/>
        <v>11216.8337791774</v>
      </c>
      <c r="S73" s="95">
        <f t="shared" si="156"/>
        <v>12217.2957105943</v>
      </c>
      <c r="T73" s="94">
        <f t="shared" si="172"/>
        <v>7459.12089748997</v>
      </c>
      <c r="U73" s="95">
        <f t="shared" si="173"/>
        <v>10042.0113919218</v>
      </c>
      <c r="V73" s="95">
        <f t="shared" si="174"/>
        <v>18789.3847629624</v>
      </c>
      <c r="W73" s="95">
        <f t="shared" si="175"/>
        <v>49354.0686283784</v>
      </c>
      <c r="X73" s="119">
        <f t="shared" si="146"/>
        <v>320093.147617557</v>
      </c>
      <c r="Y73" s="165"/>
      <c r="Z73" s="165"/>
      <c r="AA73" s="168"/>
    </row>
    <row r="74" s="21" customFormat="1" spans="1:27">
      <c r="A74" s="47">
        <v>49</v>
      </c>
      <c r="B74" s="48">
        <v>43977</v>
      </c>
      <c r="C74" s="49">
        <f>C7</f>
        <v>1</v>
      </c>
      <c r="D74" s="50">
        <v>1</v>
      </c>
      <c r="E74" s="51">
        <f t="shared" si="162"/>
        <v>1.27</v>
      </c>
      <c r="F74" s="52">
        <f t="shared" si="163"/>
        <v>1.5</v>
      </c>
      <c r="G74" s="52">
        <f t="shared" si="164"/>
        <v>2</v>
      </c>
      <c r="H74" s="53">
        <f>(1.0949-1.0897)/(1.0897-1.0888)*C74</f>
        <v>5.77777777777852</v>
      </c>
      <c r="I74" s="92">
        <f>(1.1276-1.0897)/(1.0897-1.0888)*C74</f>
        <v>42.1111111111158</v>
      </c>
      <c r="J74" s="93">
        <f t="shared" ref="J74:M74" si="178">IF(E74="","",J73+T74)</f>
        <v>210979.885678864</v>
      </c>
      <c r="K74" s="93">
        <f t="shared" si="178"/>
        <v>243691.722005854</v>
      </c>
      <c r="L74" s="93">
        <f t="shared" si="178"/>
        <v>351862.545327743</v>
      </c>
      <c r="M74" s="93">
        <f t="shared" si="178"/>
        <v>496611.60610958</v>
      </c>
      <c r="N74" s="93">
        <f t="shared" si="151"/>
        <v>1646204.57827379</v>
      </c>
      <c r="O74" s="94">
        <f t="shared" ref="O74:R74" si="179">IF(J73="","",J73*0.03)</f>
        <v>6097.09716825538</v>
      </c>
      <c r="P74" s="95">
        <f t="shared" si="179"/>
        <v>6995.93460303888</v>
      </c>
      <c r="Q74" s="95">
        <f t="shared" si="179"/>
        <v>9958.37392437007</v>
      </c>
      <c r="R74" s="95">
        <f t="shared" si="179"/>
        <v>12697.4558380288</v>
      </c>
      <c r="S74" s="95">
        <f t="shared" si="156"/>
        <v>21820.090139121</v>
      </c>
      <c r="T74" s="94">
        <f t="shared" si="172"/>
        <v>7743.31340368434</v>
      </c>
      <c r="U74" s="95">
        <f t="shared" si="173"/>
        <v>10493.9019045583</v>
      </c>
      <c r="V74" s="95">
        <f t="shared" si="174"/>
        <v>19916.7478487401</v>
      </c>
      <c r="W74" s="95">
        <f t="shared" si="175"/>
        <v>73363.0781752869</v>
      </c>
      <c r="X74" s="119">
        <f t="shared" si="146"/>
        <v>918868.240303087</v>
      </c>
      <c r="Y74" s="137"/>
      <c r="Z74" s="137"/>
      <c r="AA74" s="168"/>
    </row>
    <row r="75" s="23" customFormat="1" spans="1:27">
      <c r="A75" s="68">
        <v>50</v>
      </c>
      <c r="B75" s="69">
        <v>43978</v>
      </c>
      <c r="C75" s="70">
        <f>C9</f>
        <v>1</v>
      </c>
      <c r="D75" s="71">
        <v>1</v>
      </c>
      <c r="E75" s="72">
        <f>-1*C75</f>
        <v>-1</v>
      </c>
      <c r="F75" s="73">
        <f t="shared" ref="F75:F80" si="180">-1*C75</f>
        <v>-1</v>
      </c>
      <c r="G75" s="73">
        <f t="shared" ref="G75:G80" si="181">-1*C75</f>
        <v>-1</v>
      </c>
      <c r="H75" s="74">
        <f t="shared" ref="H75:H80" si="182">-1*C75</f>
        <v>-1</v>
      </c>
      <c r="I75" s="104">
        <f t="shared" ref="I75:I80" si="183">-1*C75</f>
        <v>-1</v>
      </c>
      <c r="J75" s="105">
        <f t="shared" ref="J75:M75" si="184">IF(E75="","",J74+T75)</f>
        <v>204650.489108498</v>
      </c>
      <c r="K75" s="105">
        <f t="shared" si="184"/>
        <v>236380.970345679</v>
      </c>
      <c r="L75" s="105">
        <f t="shared" si="184"/>
        <v>341306.66896791</v>
      </c>
      <c r="M75" s="105">
        <f t="shared" si="184"/>
        <v>481713.257926293</v>
      </c>
      <c r="N75" s="105">
        <f t="shared" si="151"/>
        <v>1596818.44092557</v>
      </c>
      <c r="O75" s="106">
        <f t="shared" ref="O75:R75" si="185">IF(J74="","",J74*0.03)</f>
        <v>6329.39657036591</v>
      </c>
      <c r="P75" s="107">
        <f t="shared" si="185"/>
        <v>7310.75166017563</v>
      </c>
      <c r="Q75" s="107">
        <f t="shared" si="185"/>
        <v>10555.8763598323</v>
      </c>
      <c r="R75" s="107">
        <f t="shared" si="185"/>
        <v>14898.3481832874</v>
      </c>
      <c r="S75" s="107">
        <f t="shared" si="156"/>
        <v>49386.1373482136</v>
      </c>
      <c r="T75" s="106">
        <f t="shared" si="172"/>
        <v>-6329.39657036591</v>
      </c>
      <c r="U75" s="107">
        <f t="shared" si="173"/>
        <v>-7310.75166017563</v>
      </c>
      <c r="V75" s="107">
        <f t="shared" si="174"/>
        <v>-10555.8763598323</v>
      </c>
      <c r="W75" s="107">
        <f t="shared" si="175"/>
        <v>-14898.3481832874</v>
      </c>
      <c r="X75" s="122">
        <f t="shared" si="146"/>
        <v>-49386.1373482136</v>
      </c>
      <c r="Y75" s="153"/>
      <c r="Z75" s="153"/>
      <c r="AA75" s="166"/>
    </row>
    <row r="76" s="21" customFormat="1" spans="1:27">
      <c r="A76" s="47">
        <v>51</v>
      </c>
      <c r="B76" s="48">
        <v>43978</v>
      </c>
      <c r="C76" s="49">
        <f>C9</f>
        <v>1</v>
      </c>
      <c r="D76" s="50">
        <v>1</v>
      </c>
      <c r="E76" s="51">
        <f t="shared" ref="E76:E79" si="186">1.27*C76</f>
        <v>1.27</v>
      </c>
      <c r="F76" s="52">
        <f t="shared" ref="F76:F79" si="187">1.5*C76</f>
        <v>1.5</v>
      </c>
      <c r="G76" s="52">
        <f t="shared" ref="G76:G79" si="188">2*C76</f>
        <v>2</v>
      </c>
      <c r="H76" s="53">
        <f>(1.1324-1.098)/(1.098-1.0931)*C76</f>
        <v>7.02040816326512</v>
      </c>
      <c r="I76" s="92">
        <f>(1.1276-1.098)/(1.098-1.0931)*C76</f>
        <v>6.04081632653043</v>
      </c>
      <c r="J76" s="93">
        <f t="shared" ref="J76:M76" si="189">IF(E76="","",J75+T76)</f>
        <v>212447.672743532</v>
      </c>
      <c r="K76" s="93">
        <f t="shared" si="189"/>
        <v>247018.114011234</v>
      </c>
      <c r="L76" s="93">
        <f t="shared" si="189"/>
        <v>361785.069105985</v>
      </c>
      <c r="M76" s="93">
        <f t="shared" si="189"/>
        <v>583167.968575256</v>
      </c>
      <c r="N76" s="93">
        <f t="shared" si="151"/>
        <v>1886201.04817902</v>
      </c>
      <c r="O76" s="94">
        <f t="shared" ref="O76:R76" si="190">IF(J75="","",J75*0.03)</f>
        <v>6139.51467325494</v>
      </c>
      <c r="P76" s="95">
        <f t="shared" si="190"/>
        <v>7091.42911037036</v>
      </c>
      <c r="Q76" s="95">
        <f t="shared" si="190"/>
        <v>10239.2000690373</v>
      </c>
      <c r="R76" s="95">
        <f t="shared" si="190"/>
        <v>14451.3977377888</v>
      </c>
      <c r="S76" s="95">
        <f t="shared" si="156"/>
        <v>47904.5532277672</v>
      </c>
      <c r="T76" s="94">
        <f t="shared" si="172"/>
        <v>7797.18363503377</v>
      </c>
      <c r="U76" s="95">
        <f t="shared" si="173"/>
        <v>10637.1436655555</v>
      </c>
      <c r="V76" s="95">
        <f t="shared" si="174"/>
        <v>20478.4001380746</v>
      </c>
      <c r="W76" s="95">
        <f t="shared" si="175"/>
        <v>101454.710648964</v>
      </c>
      <c r="X76" s="119">
        <f t="shared" si="146"/>
        <v>289382.607253442</v>
      </c>
      <c r="Y76" s="137"/>
      <c r="Z76" s="137"/>
      <c r="AA76" s="168"/>
    </row>
    <row r="77" s="23" customFormat="1" spans="1:27">
      <c r="A77" s="68">
        <v>52</v>
      </c>
      <c r="B77" s="69">
        <v>43983</v>
      </c>
      <c r="C77" s="70">
        <f>C4</f>
        <v>1</v>
      </c>
      <c r="D77" s="78">
        <v>2</v>
      </c>
      <c r="E77" s="72">
        <f t="shared" si="186"/>
        <v>1.27</v>
      </c>
      <c r="F77" s="73">
        <f t="shared" si="180"/>
        <v>-1</v>
      </c>
      <c r="G77" s="73">
        <f t="shared" si="181"/>
        <v>-1</v>
      </c>
      <c r="H77" s="74">
        <f t="shared" si="182"/>
        <v>-1</v>
      </c>
      <c r="I77" s="104">
        <f t="shared" si="183"/>
        <v>-1</v>
      </c>
      <c r="J77" s="105">
        <f t="shared" ref="J77:M77" si="191">IF(E77="","",J76+T77)</f>
        <v>220541.92907506</v>
      </c>
      <c r="K77" s="105">
        <f t="shared" si="191"/>
        <v>239607.570590897</v>
      </c>
      <c r="L77" s="105">
        <f t="shared" si="191"/>
        <v>350931.517032805</v>
      </c>
      <c r="M77" s="105">
        <f t="shared" si="191"/>
        <v>565672.929517999</v>
      </c>
      <c r="N77" s="105">
        <f t="shared" si="151"/>
        <v>1829615.01673365</v>
      </c>
      <c r="O77" s="106">
        <f t="shared" ref="O77:R77" si="192">IF(J76="","",J76*0.03)</f>
        <v>6373.43018230595</v>
      </c>
      <c r="P77" s="107">
        <f t="shared" si="192"/>
        <v>7410.54342033703</v>
      </c>
      <c r="Q77" s="107">
        <f t="shared" si="192"/>
        <v>10853.5520731795</v>
      </c>
      <c r="R77" s="107">
        <f t="shared" si="192"/>
        <v>17495.0390572577</v>
      </c>
      <c r="S77" s="107">
        <f t="shared" si="156"/>
        <v>56586.0314453705</v>
      </c>
      <c r="T77" s="106">
        <f t="shared" si="172"/>
        <v>8094.25633152856</v>
      </c>
      <c r="U77" s="107">
        <f t="shared" si="173"/>
        <v>-7410.54342033703</v>
      </c>
      <c r="V77" s="107">
        <f t="shared" si="174"/>
        <v>-10853.5520731795</v>
      </c>
      <c r="W77" s="107">
        <f t="shared" si="175"/>
        <v>-17495.0390572577</v>
      </c>
      <c r="X77" s="122">
        <f t="shared" si="146"/>
        <v>-56586.0314453705</v>
      </c>
      <c r="Y77" s="164"/>
      <c r="Z77" s="164"/>
      <c r="AA77" s="170"/>
    </row>
    <row r="78" s="21" customFormat="1" spans="1:27">
      <c r="A78" s="47">
        <v>53</v>
      </c>
      <c r="B78" s="48">
        <v>43986</v>
      </c>
      <c r="C78" s="49">
        <f>C10</f>
        <v>1</v>
      </c>
      <c r="D78" s="50">
        <v>1</v>
      </c>
      <c r="E78" s="51">
        <f t="shared" si="186"/>
        <v>1.27</v>
      </c>
      <c r="F78" s="52">
        <f t="shared" si="187"/>
        <v>1.5</v>
      </c>
      <c r="G78" s="52">
        <f t="shared" si="188"/>
        <v>2</v>
      </c>
      <c r="H78" s="53">
        <f>(1.1324-1.121)/(1.121-1.0931)*C78</f>
        <v>0.408602150537637</v>
      </c>
      <c r="I78" s="92">
        <f>(1.1276-1.121)/(1.121-1.0931)*C78</f>
        <v>0.236559139784944</v>
      </c>
      <c r="J78" s="93">
        <f t="shared" ref="J78:M78" si="193">IF(E78="","",J77+T78)</f>
        <v>228944.57657282</v>
      </c>
      <c r="K78" s="93">
        <f t="shared" si="193"/>
        <v>250389.911267488</v>
      </c>
      <c r="L78" s="93">
        <f t="shared" si="193"/>
        <v>371987.408054774</v>
      </c>
      <c r="M78" s="93">
        <f t="shared" si="193"/>
        <v>572606.984783058</v>
      </c>
      <c r="N78" s="93">
        <f t="shared" si="151"/>
        <v>1842599.38136853</v>
      </c>
      <c r="O78" s="94">
        <f t="shared" ref="O78:R78" si="194">IF(J77="","",J77*0.03)</f>
        <v>6616.25787225181</v>
      </c>
      <c r="P78" s="95">
        <f t="shared" si="194"/>
        <v>7188.22711772692</v>
      </c>
      <c r="Q78" s="95">
        <f t="shared" si="194"/>
        <v>10527.9455109842</v>
      </c>
      <c r="R78" s="95">
        <f t="shared" si="194"/>
        <v>16970.18788554</v>
      </c>
      <c r="S78" s="95">
        <f t="shared" si="156"/>
        <v>54888.4505020094</v>
      </c>
      <c r="T78" s="94">
        <f t="shared" si="172"/>
        <v>8402.6474977598</v>
      </c>
      <c r="U78" s="95">
        <f t="shared" si="173"/>
        <v>10782.3406765904</v>
      </c>
      <c r="V78" s="95">
        <f t="shared" si="174"/>
        <v>21055.8910219683</v>
      </c>
      <c r="W78" s="95">
        <f t="shared" si="175"/>
        <v>6934.05526505937</v>
      </c>
      <c r="X78" s="119">
        <f t="shared" si="146"/>
        <v>12984.3646348838</v>
      </c>
      <c r="Y78" s="137"/>
      <c r="Z78" s="137"/>
      <c r="AA78" s="171"/>
    </row>
    <row r="79" spans="1:27">
      <c r="A79" s="54">
        <v>54</v>
      </c>
      <c r="B79" s="55">
        <v>43987</v>
      </c>
      <c r="C79" s="56">
        <f>C4</f>
        <v>1</v>
      </c>
      <c r="D79" s="77">
        <v>2</v>
      </c>
      <c r="E79" s="58">
        <f t="shared" si="186"/>
        <v>1.27</v>
      </c>
      <c r="F79" s="59">
        <f t="shared" si="187"/>
        <v>1.5</v>
      </c>
      <c r="G79" s="59">
        <f t="shared" si="188"/>
        <v>2</v>
      </c>
      <c r="H79" s="60">
        <f>(1.1315-1.1362)/(1.1362-1.1384)*C79</f>
        <v>2.13636363636372</v>
      </c>
      <c r="I79" s="96">
        <f>(1.1362-1.1362)/(1.1362-1.1384)*C79</f>
        <v>0</v>
      </c>
      <c r="J79" s="97">
        <f t="shared" ref="J79:M79" si="195">IF(E79="","",J78+T79)</f>
        <v>237667.364940245</v>
      </c>
      <c r="K79" s="97">
        <f t="shared" si="195"/>
        <v>261657.457274525</v>
      </c>
      <c r="L79" s="97">
        <f t="shared" si="195"/>
        <v>394306.65253806</v>
      </c>
      <c r="M79" s="97">
        <f t="shared" si="195"/>
        <v>609305.88698961</v>
      </c>
      <c r="N79" s="97">
        <f t="shared" si="151"/>
        <v>1842599.38136853</v>
      </c>
      <c r="O79" s="98">
        <f t="shared" ref="O79:R79" si="196">IF(J78="","",J78*0.03)</f>
        <v>6868.3372971846</v>
      </c>
      <c r="P79" s="99">
        <f t="shared" si="196"/>
        <v>7511.69733802463</v>
      </c>
      <c r="Q79" s="99">
        <f t="shared" si="196"/>
        <v>11159.6222416432</v>
      </c>
      <c r="R79" s="99">
        <f t="shared" si="196"/>
        <v>17178.2095434917</v>
      </c>
      <c r="S79" s="99">
        <f t="shared" si="156"/>
        <v>55277.9814410559</v>
      </c>
      <c r="T79" s="98">
        <f t="shared" si="172"/>
        <v>8722.78836742444</v>
      </c>
      <c r="U79" s="99">
        <f t="shared" si="173"/>
        <v>11267.5460070369</v>
      </c>
      <c r="V79" s="99">
        <f t="shared" si="174"/>
        <v>22319.2444832864</v>
      </c>
      <c r="W79" s="99">
        <f t="shared" si="175"/>
        <v>36698.902206552</v>
      </c>
      <c r="X79" s="120">
        <f t="shared" si="146"/>
        <v>0</v>
      </c>
      <c r="Y79" s="172"/>
      <c r="Z79" s="172"/>
      <c r="AA79" s="173"/>
    </row>
    <row r="80" s="23" customFormat="1" spans="1:27">
      <c r="A80" s="68">
        <v>55</v>
      </c>
      <c r="B80" s="69">
        <v>43990</v>
      </c>
      <c r="C80" s="70">
        <f>C10</f>
        <v>1</v>
      </c>
      <c r="D80" s="71">
        <v>1</v>
      </c>
      <c r="E80" s="72">
        <f>-1*C80</f>
        <v>-1</v>
      </c>
      <c r="F80" s="73">
        <f t="shared" si="180"/>
        <v>-1</v>
      </c>
      <c r="G80" s="73">
        <f t="shared" si="181"/>
        <v>-1</v>
      </c>
      <c r="H80" s="74">
        <f t="shared" si="182"/>
        <v>-1</v>
      </c>
      <c r="I80" s="104">
        <f t="shared" si="183"/>
        <v>-1</v>
      </c>
      <c r="J80" s="105">
        <f t="shared" ref="J80:M80" si="197">IF(E80="","",J79+T80)</f>
        <v>230537.343992037</v>
      </c>
      <c r="K80" s="105">
        <f t="shared" si="197"/>
        <v>253807.733556289</v>
      </c>
      <c r="L80" s="105">
        <f t="shared" si="197"/>
        <v>382477.452961918</v>
      </c>
      <c r="M80" s="105">
        <f t="shared" si="197"/>
        <v>591026.710379922</v>
      </c>
      <c r="N80" s="105">
        <f t="shared" si="151"/>
        <v>1787321.39992747</v>
      </c>
      <c r="O80" s="106">
        <f t="shared" ref="O80:R80" si="198">IF(J79="","",J79*0.03)</f>
        <v>7130.02094820734</v>
      </c>
      <c r="P80" s="107">
        <f t="shared" si="198"/>
        <v>7849.72371823574</v>
      </c>
      <c r="Q80" s="107">
        <f t="shared" si="198"/>
        <v>11829.1995761418</v>
      </c>
      <c r="R80" s="107">
        <f t="shared" si="198"/>
        <v>18279.1766096883</v>
      </c>
      <c r="S80" s="107">
        <f t="shared" si="156"/>
        <v>55277.9814410559</v>
      </c>
      <c r="T80" s="106">
        <f t="shared" si="172"/>
        <v>-7130.02094820734</v>
      </c>
      <c r="U80" s="107">
        <f t="shared" si="173"/>
        <v>-7849.72371823574</v>
      </c>
      <c r="V80" s="107">
        <f t="shared" si="174"/>
        <v>-11829.1995761418</v>
      </c>
      <c r="W80" s="107">
        <f t="shared" si="175"/>
        <v>-18279.1766096883</v>
      </c>
      <c r="X80" s="122">
        <f t="shared" si="146"/>
        <v>-55277.9814410559</v>
      </c>
      <c r="Y80" s="174"/>
      <c r="Z80" s="174"/>
      <c r="AA80" s="175"/>
    </row>
    <row r="81" spans="1:27">
      <c r="A81" s="54">
        <v>56</v>
      </c>
      <c r="B81" s="55">
        <v>43990</v>
      </c>
      <c r="C81" s="56">
        <f>C10</f>
        <v>1</v>
      </c>
      <c r="D81" s="57">
        <v>1</v>
      </c>
      <c r="E81" s="58">
        <f t="shared" ref="E81:E85" si="199">1.27*C81</f>
        <v>1.27</v>
      </c>
      <c r="F81" s="59">
        <f t="shared" ref="F81:F85" si="200">1.5*C81</f>
        <v>1.5</v>
      </c>
      <c r="G81" s="75">
        <f t="shared" ref="G81:G85" si="201">2*C81</f>
        <v>2</v>
      </c>
      <c r="H81" s="60">
        <f>(1.1362-1.1362)/(1.1362-1.1384)*C81</f>
        <v>0</v>
      </c>
      <c r="I81" s="96">
        <f>(1.1362-1.1362)/(1.1362-1.1384)*C81</f>
        <v>0</v>
      </c>
      <c r="J81" s="97">
        <f t="shared" ref="J81:M81" si="202">IF(E81="","",J80+T81)</f>
        <v>239320.816798134</v>
      </c>
      <c r="K81" s="97">
        <f t="shared" si="202"/>
        <v>265229.081566322</v>
      </c>
      <c r="L81" s="97">
        <f t="shared" si="202"/>
        <v>405426.100139633</v>
      </c>
      <c r="M81" s="97">
        <f t="shared" si="202"/>
        <v>591026.710379922</v>
      </c>
      <c r="N81" s="97">
        <f t="shared" si="151"/>
        <v>1787321.39992747</v>
      </c>
      <c r="O81" s="98">
        <f t="shared" ref="O81:R81" si="203">IF(J80="","",J80*0.03)</f>
        <v>6916.12031976111</v>
      </c>
      <c r="P81" s="99">
        <f t="shared" si="203"/>
        <v>7614.23200668867</v>
      </c>
      <c r="Q81" s="99">
        <f t="shared" si="203"/>
        <v>11474.3235888575</v>
      </c>
      <c r="R81" s="99">
        <f t="shared" si="203"/>
        <v>17730.8013113976</v>
      </c>
      <c r="S81" s="99">
        <f t="shared" si="156"/>
        <v>53619.6419978242</v>
      </c>
      <c r="T81" s="98">
        <f t="shared" si="172"/>
        <v>8783.47280609662</v>
      </c>
      <c r="U81" s="99">
        <f t="shared" si="173"/>
        <v>11421.348010033</v>
      </c>
      <c r="V81" s="99">
        <f t="shared" si="174"/>
        <v>22948.6471777151</v>
      </c>
      <c r="W81" s="99">
        <f t="shared" si="175"/>
        <v>0</v>
      </c>
      <c r="X81" s="120">
        <f t="shared" si="146"/>
        <v>0</v>
      </c>
      <c r="Y81" s="172"/>
      <c r="Z81" s="172"/>
      <c r="AA81" s="173"/>
    </row>
    <row r="82" s="23" customFormat="1" spans="1:27">
      <c r="A82" s="68">
        <v>57</v>
      </c>
      <c r="B82" s="69">
        <v>43993</v>
      </c>
      <c r="C82" s="70">
        <f>C10</f>
        <v>1</v>
      </c>
      <c r="D82" s="71">
        <v>1</v>
      </c>
      <c r="E82" s="72">
        <f t="shared" si="199"/>
        <v>1.27</v>
      </c>
      <c r="F82" s="73">
        <f t="shared" si="200"/>
        <v>1.5</v>
      </c>
      <c r="G82" s="73">
        <f t="shared" ref="G82:G88" si="204">-1*C82</f>
        <v>-1</v>
      </c>
      <c r="H82" s="74">
        <f t="shared" ref="H82:H88" si="205">-1*C82</f>
        <v>-1</v>
      </c>
      <c r="I82" s="104">
        <f t="shared" ref="I82:I88" si="206">-1*C82</f>
        <v>-1</v>
      </c>
      <c r="J82" s="105">
        <f t="shared" ref="J82:M82" si="207">IF(E82="","",J81+T82)</f>
        <v>248438.939918143</v>
      </c>
      <c r="K82" s="105">
        <f t="shared" si="207"/>
        <v>277164.390236806</v>
      </c>
      <c r="L82" s="105">
        <f t="shared" si="207"/>
        <v>393263.317135444</v>
      </c>
      <c r="M82" s="105">
        <f t="shared" si="207"/>
        <v>573295.909068524</v>
      </c>
      <c r="N82" s="105">
        <f t="shared" si="151"/>
        <v>1733701.75792965</v>
      </c>
      <c r="O82" s="106">
        <f t="shared" ref="O82:R82" si="208">IF(J81="","",J81*0.03)</f>
        <v>7179.62450394401</v>
      </c>
      <c r="P82" s="107">
        <f t="shared" si="208"/>
        <v>7956.87244698966</v>
      </c>
      <c r="Q82" s="107">
        <f t="shared" si="208"/>
        <v>12162.783004189</v>
      </c>
      <c r="R82" s="107">
        <f t="shared" si="208"/>
        <v>17730.8013113976</v>
      </c>
      <c r="S82" s="107">
        <f t="shared" si="156"/>
        <v>53619.6419978242</v>
      </c>
      <c r="T82" s="106">
        <f t="shared" si="172"/>
        <v>9118.1231200089</v>
      </c>
      <c r="U82" s="107">
        <f t="shared" si="173"/>
        <v>11935.3086704845</v>
      </c>
      <c r="V82" s="107">
        <f t="shared" si="174"/>
        <v>-12162.783004189</v>
      </c>
      <c r="W82" s="107">
        <f t="shared" si="175"/>
        <v>-17730.8013113976</v>
      </c>
      <c r="X82" s="122">
        <f t="shared" si="146"/>
        <v>-53619.6419978242</v>
      </c>
      <c r="Y82" s="174"/>
      <c r="Z82" s="174"/>
      <c r="AA82" s="166"/>
    </row>
    <row r="83" s="23" customFormat="1" spans="1:27">
      <c r="A83" s="68">
        <v>58</v>
      </c>
      <c r="B83" s="69">
        <v>43997</v>
      </c>
      <c r="C83" s="70">
        <f>C6</f>
        <v>1</v>
      </c>
      <c r="D83" s="71">
        <v>2</v>
      </c>
      <c r="E83" s="72">
        <f t="shared" ref="E83:E88" si="209">-1*C83</f>
        <v>-1</v>
      </c>
      <c r="F83" s="73">
        <f t="shared" ref="F83:F88" si="210">-1*C83</f>
        <v>-1</v>
      </c>
      <c r="G83" s="73">
        <f t="shared" si="204"/>
        <v>-1</v>
      </c>
      <c r="H83" s="74">
        <f t="shared" si="205"/>
        <v>-1</v>
      </c>
      <c r="I83" s="104">
        <f t="shared" si="206"/>
        <v>-1</v>
      </c>
      <c r="J83" s="105">
        <f t="shared" ref="J83:M83" si="211">IF(E83="","",J82+T83)</f>
        <v>240985.771720598</v>
      </c>
      <c r="K83" s="105">
        <f t="shared" si="211"/>
        <v>268849.458529702</v>
      </c>
      <c r="L83" s="105">
        <f t="shared" si="211"/>
        <v>381465.417621381</v>
      </c>
      <c r="M83" s="105">
        <f t="shared" si="211"/>
        <v>556097.031796468</v>
      </c>
      <c r="N83" s="105">
        <f t="shared" si="151"/>
        <v>1681690.70519176</v>
      </c>
      <c r="O83" s="106">
        <f t="shared" ref="O83:R83" si="212">IF(J82="","",J82*0.03)</f>
        <v>7453.16819754428</v>
      </c>
      <c r="P83" s="107">
        <f t="shared" si="212"/>
        <v>8314.93170710419</v>
      </c>
      <c r="Q83" s="107">
        <f t="shared" si="212"/>
        <v>11797.8995140633</v>
      </c>
      <c r="R83" s="107">
        <f t="shared" si="212"/>
        <v>17198.8772720557</v>
      </c>
      <c r="S83" s="107">
        <f t="shared" si="156"/>
        <v>52011.0527378895</v>
      </c>
      <c r="T83" s="106">
        <f t="shared" ref="T83:W83" si="213">IF(E83="","",O83*E83)</f>
        <v>-7453.16819754428</v>
      </c>
      <c r="U83" s="107">
        <f t="shared" si="213"/>
        <v>-8314.93170710419</v>
      </c>
      <c r="V83" s="107">
        <f t="shared" si="213"/>
        <v>-11797.8995140633</v>
      </c>
      <c r="W83" s="107">
        <f t="shared" si="213"/>
        <v>-17198.8772720557</v>
      </c>
      <c r="X83" s="122">
        <f t="shared" si="146"/>
        <v>-52011.0527378895</v>
      </c>
      <c r="Y83" s="155"/>
      <c r="Z83" s="155"/>
      <c r="AA83" s="166"/>
    </row>
    <row r="84" ht="36" spans="1:27">
      <c r="A84" s="54">
        <v>59</v>
      </c>
      <c r="B84" s="55">
        <v>44000</v>
      </c>
      <c r="C84" s="56">
        <f>C11</f>
        <v>1</v>
      </c>
      <c r="D84" s="57">
        <v>1</v>
      </c>
      <c r="E84" s="58">
        <f t="shared" si="199"/>
        <v>1.27</v>
      </c>
      <c r="F84" s="59">
        <f t="shared" si="200"/>
        <v>1.5</v>
      </c>
      <c r="G84" s="75">
        <f t="shared" si="201"/>
        <v>2</v>
      </c>
      <c r="H84" s="60">
        <f>(1.1206-1.1206)/(1.1206-1.1183)*C84</f>
        <v>0</v>
      </c>
      <c r="I84" s="96">
        <f>(1.1206-1.1206)/(1.1206-1.1183)*C84</f>
        <v>0</v>
      </c>
      <c r="J84" s="97">
        <f t="shared" ref="J84:M84" si="214">IF(E84="","",J83+T84)</f>
        <v>250167.329623153</v>
      </c>
      <c r="K84" s="97">
        <f t="shared" si="214"/>
        <v>280947.684163539</v>
      </c>
      <c r="L84" s="97">
        <f t="shared" si="214"/>
        <v>404353.342678664</v>
      </c>
      <c r="M84" s="97">
        <f t="shared" si="214"/>
        <v>556097.031796468</v>
      </c>
      <c r="N84" s="97">
        <f t="shared" si="151"/>
        <v>1681690.70519176</v>
      </c>
      <c r="O84" s="98">
        <f t="shared" ref="O84:R84" si="215">IF(J83="","",J83*0.03)</f>
        <v>7229.57315161795</v>
      </c>
      <c r="P84" s="99">
        <f t="shared" si="215"/>
        <v>8065.48375589106</v>
      </c>
      <c r="Q84" s="99">
        <f t="shared" si="215"/>
        <v>11443.9625286414</v>
      </c>
      <c r="R84" s="99">
        <f t="shared" si="215"/>
        <v>16682.910953894</v>
      </c>
      <c r="S84" s="99">
        <f t="shared" si="156"/>
        <v>50450.7211557528</v>
      </c>
      <c r="T84" s="98">
        <f t="shared" ref="T84:W84" si="216">IF(E84="","",O84*E84)</f>
        <v>9181.5579025548</v>
      </c>
      <c r="U84" s="99">
        <f t="shared" si="216"/>
        <v>12098.2256338366</v>
      </c>
      <c r="V84" s="99">
        <f t="shared" si="216"/>
        <v>22887.9250572829</v>
      </c>
      <c r="W84" s="99">
        <f t="shared" si="216"/>
        <v>0</v>
      </c>
      <c r="X84" s="120">
        <f t="shared" si="146"/>
        <v>0</v>
      </c>
      <c r="Y84" s="176"/>
      <c r="Z84" s="177" t="s">
        <v>70</v>
      </c>
      <c r="AA84" s="173"/>
    </row>
    <row r="85" s="21" customFormat="1" ht="36" spans="1:27">
      <c r="A85" s="47">
        <v>60</v>
      </c>
      <c r="B85" s="48">
        <v>44004</v>
      </c>
      <c r="C85" s="49">
        <f>C11</f>
        <v>1</v>
      </c>
      <c r="D85" s="50">
        <v>1</v>
      </c>
      <c r="E85" s="51">
        <f t="shared" si="199"/>
        <v>1.27</v>
      </c>
      <c r="F85" s="52">
        <f t="shared" si="200"/>
        <v>1.5</v>
      </c>
      <c r="G85" s="52">
        <f t="shared" si="201"/>
        <v>2</v>
      </c>
      <c r="H85" s="53">
        <f>(1.1266-1.1186)/(1.1186-1.1166)*C85</f>
        <v>4</v>
      </c>
      <c r="I85" s="92">
        <f>(1.1266-1.1186)/(1.1186-1.1166)*C85</f>
        <v>4</v>
      </c>
      <c r="J85" s="93">
        <f t="shared" ref="J85:M85" si="217">IF(E85="","",J84+T85)</f>
        <v>259698.704881795</v>
      </c>
      <c r="K85" s="93">
        <f t="shared" si="217"/>
        <v>293590.329950898</v>
      </c>
      <c r="L85" s="93">
        <f t="shared" si="217"/>
        <v>428614.543239384</v>
      </c>
      <c r="M85" s="93">
        <f t="shared" si="217"/>
        <v>622828.675612044</v>
      </c>
      <c r="N85" s="93">
        <f t="shared" si="151"/>
        <v>1883493.58981477</v>
      </c>
      <c r="O85" s="94">
        <f t="shared" ref="O85:R85" si="218">IF(J84="","",J84*0.03)</f>
        <v>7505.0198886946</v>
      </c>
      <c r="P85" s="95">
        <f t="shared" si="218"/>
        <v>8428.43052490616</v>
      </c>
      <c r="Q85" s="95">
        <f t="shared" si="218"/>
        <v>12130.6002803599</v>
      </c>
      <c r="R85" s="95">
        <f t="shared" si="218"/>
        <v>16682.910953894</v>
      </c>
      <c r="S85" s="95">
        <f t="shared" si="156"/>
        <v>50450.7211557528</v>
      </c>
      <c r="T85" s="94">
        <f t="shared" ref="T85:W85" si="219">IF(E85="","",O85*E85)</f>
        <v>9531.37525864214</v>
      </c>
      <c r="U85" s="95">
        <f t="shared" si="219"/>
        <v>12642.6457873592</v>
      </c>
      <c r="V85" s="95">
        <f t="shared" si="219"/>
        <v>24261.2005607198</v>
      </c>
      <c r="W85" s="95">
        <f t="shared" si="219"/>
        <v>66731.6438155762</v>
      </c>
      <c r="X85" s="119">
        <f t="shared" si="146"/>
        <v>201802.884623011</v>
      </c>
      <c r="Y85" s="178"/>
      <c r="Z85" s="179" t="s">
        <v>70</v>
      </c>
      <c r="AA85" s="168"/>
    </row>
    <row r="86" ht="37.5" spans="1:27">
      <c r="A86" s="54"/>
      <c r="B86" s="55">
        <v>44004</v>
      </c>
      <c r="C86" s="56"/>
      <c r="D86" s="57"/>
      <c r="E86" s="58"/>
      <c r="F86" s="59"/>
      <c r="G86" s="75"/>
      <c r="H86" s="60"/>
      <c r="I86" s="96"/>
      <c r="J86" s="97"/>
      <c r="K86" s="97"/>
      <c r="L86" s="97"/>
      <c r="M86" s="97"/>
      <c r="N86" s="97"/>
      <c r="O86" s="98"/>
      <c r="P86" s="99"/>
      <c r="Q86" s="99"/>
      <c r="R86" s="99"/>
      <c r="S86" s="99"/>
      <c r="T86" s="98"/>
      <c r="U86" s="99"/>
      <c r="V86" s="99"/>
      <c r="W86" s="99"/>
      <c r="X86" s="120"/>
      <c r="Y86" s="142" t="s">
        <v>40</v>
      </c>
      <c r="Z86" s="180"/>
      <c r="AA86" s="173"/>
    </row>
    <row r="87" s="23" customFormat="1" spans="1:27">
      <c r="A87" s="68">
        <v>61</v>
      </c>
      <c r="B87" s="69">
        <v>44006</v>
      </c>
      <c r="C87" s="70">
        <f>C6</f>
        <v>1</v>
      </c>
      <c r="D87" s="71">
        <v>1</v>
      </c>
      <c r="E87" s="72">
        <f t="shared" si="209"/>
        <v>-1</v>
      </c>
      <c r="F87" s="73">
        <f t="shared" si="210"/>
        <v>-1</v>
      </c>
      <c r="G87" s="73">
        <f t="shared" si="204"/>
        <v>-1</v>
      </c>
      <c r="H87" s="74">
        <f t="shared" si="205"/>
        <v>-1</v>
      </c>
      <c r="I87" s="104">
        <f t="shared" si="206"/>
        <v>-1</v>
      </c>
      <c r="J87" s="105">
        <f t="shared" ref="J87:N87" si="220">IF(E87="","",J85+T87)</f>
        <v>251907.743735341</v>
      </c>
      <c r="K87" s="105">
        <f t="shared" si="220"/>
        <v>284782.620052371</v>
      </c>
      <c r="L87" s="105">
        <f t="shared" si="220"/>
        <v>415756.106942202</v>
      </c>
      <c r="M87" s="105">
        <f t="shared" si="220"/>
        <v>604143.815343683</v>
      </c>
      <c r="N87" s="105">
        <f t="shared" si="220"/>
        <v>1826988.78212033</v>
      </c>
      <c r="O87" s="106">
        <f t="shared" ref="O87:S87" si="221">IF(J85="","",J85*0.03)</f>
        <v>7790.96114645386</v>
      </c>
      <c r="P87" s="107">
        <f t="shared" si="221"/>
        <v>8807.70989852694</v>
      </c>
      <c r="Q87" s="107">
        <f t="shared" si="221"/>
        <v>12858.4362971815</v>
      </c>
      <c r="R87" s="107">
        <f t="shared" si="221"/>
        <v>18684.8602683613</v>
      </c>
      <c r="S87" s="107">
        <f t="shared" si="221"/>
        <v>56504.8076944431</v>
      </c>
      <c r="T87" s="106">
        <f t="shared" ref="T87:X87" si="222">IF(E87="","",O87*E87)</f>
        <v>-7790.96114645386</v>
      </c>
      <c r="U87" s="107">
        <f t="shared" si="222"/>
        <v>-8807.70989852694</v>
      </c>
      <c r="V87" s="107">
        <f t="shared" si="222"/>
        <v>-12858.4362971815</v>
      </c>
      <c r="W87" s="107">
        <f t="shared" si="222"/>
        <v>-18684.8602683613</v>
      </c>
      <c r="X87" s="122">
        <f t="shared" si="222"/>
        <v>-56504.8076944431</v>
      </c>
      <c r="Y87" s="181"/>
      <c r="Z87" s="181"/>
      <c r="AA87" s="166"/>
    </row>
    <row r="88" s="23" customFormat="1" spans="1:27">
      <c r="A88" s="68">
        <v>62</v>
      </c>
      <c r="B88" s="69">
        <v>44008</v>
      </c>
      <c r="C88" s="70">
        <f>C10</f>
        <v>1</v>
      </c>
      <c r="D88" s="71">
        <v>2</v>
      </c>
      <c r="E88" s="72">
        <f t="shared" si="209"/>
        <v>-1</v>
      </c>
      <c r="F88" s="73">
        <f t="shared" si="210"/>
        <v>-1</v>
      </c>
      <c r="G88" s="73">
        <f t="shared" si="204"/>
        <v>-1</v>
      </c>
      <c r="H88" s="74">
        <f t="shared" si="205"/>
        <v>-1</v>
      </c>
      <c r="I88" s="104">
        <f t="shared" si="206"/>
        <v>-1</v>
      </c>
      <c r="J88" s="105">
        <f t="shared" ref="J88:M88" si="223">IF(E88="","",J87+T88)</f>
        <v>244350.511423281</v>
      </c>
      <c r="K88" s="105">
        <f t="shared" si="223"/>
        <v>276239.1414508</v>
      </c>
      <c r="L88" s="105">
        <f t="shared" si="223"/>
        <v>403283.423733936</v>
      </c>
      <c r="M88" s="105">
        <f t="shared" si="223"/>
        <v>586019.500883373</v>
      </c>
      <c r="N88" s="105">
        <f t="shared" ref="N87:N117" si="224">IF(I88="","",N87+X88)</f>
        <v>1772179.11865672</v>
      </c>
      <c r="O88" s="106">
        <f t="shared" ref="O88:R88" si="225">IF(J87="","",J87*0.03)</f>
        <v>7557.23231206024</v>
      </c>
      <c r="P88" s="107">
        <f t="shared" si="225"/>
        <v>8543.47860157113</v>
      </c>
      <c r="Q88" s="107">
        <f t="shared" si="225"/>
        <v>12472.6832082661</v>
      </c>
      <c r="R88" s="107">
        <f t="shared" si="225"/>
        <v>18124.3144603105</v>
      </c>
      <c r="S88" s="107">
        <f t="shared" ref="S87:S117" si="226">IF(N87="","",N87*0.03)</f>
        <v>54809.6634636098</v>
      </c>
      <c r="T88" s="106">
        <f t="shared" ref="T88:X88" si="227">IF(E88="","",O88*E88)</f>
        <v>-7557.23231206024</v>
      </c>
      <c r="U88" s="107">
        <f t="shared" si="227"/>
        <v>-8543.47860157113</v>
      </c>
      <c r="V88" s="107">
        <f t="shared" si="227"/>
        <v>-12472.6832082661</v>
      </c>
      <c r="W88" s="107">
        <f t="shared" si="227"/>
        <v>-18124.3144603105</v>
      </c>
      <c r="X88" s="122">
        <f t="shared" si="227"/>
        <v>-54809.6634636098</v>
      </c>
      <c r="Y88" s="181"/>
      <c r="Z88" s="181"/>
      <c r="AA88" s="166"/>
    </row>
    <row r="89" spans="1:27">
      <c r="A89" s="54">
        <v>63</v>
      </c>
      <c r="B89" s="55">
        <v>44008</v>
      </c>
      <c r="C89" s="56">
        <f>C7</f>
        <v>1</v>
      </c>
      <c r="D89" s="57">
        <v>1</v>
      </c>
      <c r="E89" s="58">
        <f t="shared" ref="E89:E94" si="228">1.27*C89</f>
        <v>1.27</v>
      </c>
      <c r="F89" s="59">
        <f t="shared" ref="F89:F94" si="229">1.5*C89</f>
        <v>1.5</v>
      </c>
      <c r="G89" s="75">
        <f t="shared" ref="G89:G94" si="230">2*C89</f>
        <v>2</v>
      </c>
      <c r="H89" s="60">
        <f>(1.1238-1.1213)/(1.1213-1.1193)*C89</f>
        <v>1.24999999999997</v>
      </c>
      <c r="I89" s="96">
        <f>(1.1213-1.1213)/(1.1213-1.1193)*C89</f>
        <v>0</v>
      </c>
      <c r="J89" s="97">
        <f t="shared" ref="J89:M89" si="231">IF(E89="","",J88+T89)</f>
        <v>253660.265908508</v>
      </c>
      <c r="K89" s="97">
        <f t="shared" si="231"/>
        <v>288669.902816086</v>
      </c>
      <c r="L89" s="97">
        <f t="shared" si="231"/>
        <v>427480.429157972</v>
      </c>
      <c r="M89" s="97">
        <f t="shared" si="231"/>
        <v>607995.232166499</v>
      </c>
      <c r="N89" s="97">
        <f t="shared" si="224"/>
        <v>1772179.11865672</v>
      </c>
      <c r="O89" s="98">
        <f t="shared" ref="O89:R89" si="232">IF(J88="","",J88*0.03)</f>
        <v>7330.51534269844</v>
      </c>
      <c r="P89" s="99">
        <f t="shared" si="232"/>
        <v>8287.174243524</v>
      </c>
      <c r="Q89" s="99">
        <f t="shared" si="232"/>
        <v>12098.5027120181</v>
      </c>
      <c r="R89" s="99">
        <f t="shared" si="232"/>
        <v>17580.5850265012</v>
      </c>
      <c r="S89" s="99">
        <f t="shared" si="226"/>
        <v>53165.3735597015</v>
      </c>
      <c r="T89" s="98">
        <f t="shared" ref="T89:X89" si="233">IF(E89="","",O89*E89)</f>
        <v>9309.75448522701</v>
      </c>
      <c r="U89" s="99">
        <f t="shared" si="233"/>
        <v>12430.761365286</v>
      </c>
      <c r="V89" s="99">
        <f t="shared" si="233"/>
        <v>24197.0054240362</v>
      </c>
      <c r="W89" s="99">
        <f t="shared" si="233"/>
        <v>21975.731283126</v>
      </c>
      <c r="X89" s="120">
        <f t="shared" si="233"/>
        <v>0</v>
      </c>
      <c r="Y89" s="182"/>
      <c r="Z89" s="182"/>
      <c r="AA89" s="173"/>
    </row>
    <row r="90" s="23" customFormat="1" spans="1:27">
      <c r="A90" s="68">
        <v>64</v>
      </c>
      <c r="B90" s="69">
        <v>44012</v>
      </c>
      <c r="C90" s="70">
        <f>C6</f>
        <v>1</v>
      </c>
      <c r="D90" s="71">
        <v>1</v>
      </c>
      <c r="E90" s="72">
        <f t="shared" ref="E90:E95" si="234">-1*C90</f>
        <v>-1</v>
      </c>
      <c r="F90" s="73">
        <f t="shared" ref="F90:F95" si="235">-1*C90</f>
        <v>-1</v>
      </c>
      <c r="G90" s="73">
        <f t="shared" ref="G90:G95" si="236">-1*C90</f>
        <v>-1</v>
      </c>
      <c r="H90" s="74">
        <f t="shared" ref="H90:H95" si="237">-1*C90</f>
        <v>-1</v>
      </c>
      <c r="I90" s="104">
        <f t="shared" ref="I90:I95" si="238">-1*C90</f>
        <v>-1</v>
      </c>
      <c r="J90" s="105">
        <f t="shared" ref="J90:M90" si="239">IF(E90="","",J89+T90)</f>
        <v>246050.457931253</v>
      </c>
      <c r="K90" s="105">
        <f t="shared" si="239"/>
        <v>280009.805731603</v>
      </c>
      <c r="L90" s="105">
        <f t="shared" si="239"/>
        <v>414656.016283233</v>
      </c>
      <c r="M90" s="105">
        <f t="shared" si="239"/>
        <v>589755.375201504</v>
      </c>
      <c r="N90" s="105">
        <f t="shared" si="224"/>
        <v>1719013.74509702</v>
      </c>
      <c r="O90" s="106">
        <f t="shared" ref="O90:R90" si="240">IF(J89="","",J89*0.03)</f>
        <v>7609.80797725525</v>
      </c>
      <c r="P90" s="107">
        <f t="shared" si="240"/>
        <v>8660.09708448258</v>
      </c>
      <c r="Q90" s="107">
        <f t="shared" si="240"/>
        <v>12824.4128747392</v>
      </c>
      <c r="R90" s="107">
        <f t="shared" si="240"/>
        <v>18239.856964995</v>
      </c>
      <c r="S90" s="107">
        <f t="shared" si="226"/>
        <v>53165.3735597015</v>
      </c>
      <c r="T90" s="106">
        <f t="shared" ref="T90:X90" si="241">IF(E90="","",O90*E90)</f>
        <v>-7609.80797725525</v>
      </c>
      <c r="U90" s="107">
        <f t="shared" si="241"/>
        <v>-8660.09708448258</v>
      </c>
      <c r="V90" s="107">
        <f t="shared" si="241"/>
        <v>-12824.4128747392</v>
      </c>
      <c r="W90" s="107">
        <f t="shared" si="241"/>
        <v>-18239.856964995</v>
      </c>
      <c r="X90" s="122">
        <f t="shared" si="241"/>
        <v>-53165.3735597015</v>
      </c>
      <c r="Y90" s="181"/>
      <c r="Z90" s="181"/>
      <c r="AA90" s="166"/>
    </row>
    <row r="91" s="21" customFormat="1" spans="1:27">
      <c r="A91" s="47">
        <v>65</v>
      </c>
      <c r="B91" s="48">
        <v>44013</v>
      </c>
      <c r="C91" s="49">
        <f>C4</f>
        <v>1</v>
      </c>
      <c r="D91" s="50">
        <v>1</v>
      </c>
      <c r="E91" s="51">
        <f t="shared" si="228"/>
        <v>1.27</v>
      </c>
      <c r="F91" s="52">
        <f t="shared" si="229"/>
        <v>1.5</v>
      </c>
      <c r="G91" s="52">
        <f t="shared" si="230"/>
        <v>2</v>
      </c>
      <c r="H91" s="53">
        <f>(1.1241-1.1207)/(1.1207-1.1183)*C91</f>
        <v>1.41666666666672</v>
      </c>
      <c r="I91" s="92">
        <f>(1.1221-1.1207)/(1.1207-1.1183)*C91</f>
        <v>0.583333333333372</v>
      </c>
      <c r="J91" s="93">
        <f t="shared" ref="J91:M91" si="242">IF(E91="","",J90+T91)</f>
        <v>255424.980378434</v>
      </c>
      <c r="K91" s="93">
        <f t="shared" si="242"/>
        <v>292610.246989526</v>
      </c>
      <c r="L91" s="93">
        <f t="shared" si="242"/>
        <v>439535.377260227</v>
      </c>
      <c r="M91" s="93">
        <f t="shared" si="242"/>
        <v>614819.978647568</v>
      </c>
      <c r="N91" s="93">
        <f t="shared" si="224"/>
        <v>1749096.48563622</v>
      </c>
      <c r="O91" s="94">
        <f t="shared" ref="O91:R91" si="243">IF(J90="","",J90*0.03)</f>
        <v>7381.51373793759</v>
      </c>
      <c r="P91" s="95">
        <f t="shared" si="243"/>
        <v>8400.2941719481</v>
      </c>
      <c r="Q91" s="95">
        <f t="shared" si="243"/>
        <v>12439.680488497</v>
      </c>
      <c r="R91" s="95">
        <f t="shared" si="243"/>
        <v>17692.6612560451</v>
      </c>
      <c r="S91" s="95">
        <f t="shared" si="226"/>
        <v>51570.4123529105</v>
      </c>
      <c r="T91" s="94">
        <f t="shared" ref="T91:X91" si="244">IF(E91="","",O91*E91)</f>
        <v>9374.52244718074</v>
      </c>
      <c r="U91" s="95">
        <f t="shared" si="244"/>
        <v>12600.4412579221</v>
      </c>
      <c r="V91" s="95">
        <f t="shared" si="244"/>
        <v>24879.360976994</v>
      </c>
      <c r="W91" s="95">
        <f t="shared" si="244"/>
        <v>25064.6034460649</v>
      </c>
      <c r="X91" s="119">
        <f t="shared" si="244"/>
        <v>30082.7405391998</v>
      </c>
      <c r="Y91" s="183"/>
      <c r="Z91" s="183"/>
      <c r="AA91" s="168"/>
    </row>
    <row r="92" s="23" customFormat="1" spans="1:27">
      <c r="A92" s="68">
        <v>66</v>
      </c>
      <c r="B92" s="69">
        <v>44014</v>
      </c>
      <c r="C92" s="70">
        <f>C6</f>
        <v>1</v>
      </c>
      <c r="D92" s="71">
        <v>1</v>
      </c>
      <c r="E92" s="72">
        <f t="shared" si="234"/>
        <v>-1</v>
      </c>
      <c r="F92" s="73">
        <f t="shared" si="235"/>
        <v>-1</v>
      </c>
      <c r="G92" s="73">
        <f t="shared" si="236"/>
        <v>-1</v>
      </c>
      <c r="H92" s="74">
        <f t="shared" si="237"/>
        <v>-1</v>
      </c>
      <c r="I92" s="104">
        <f t="shared" si="238"/>
        <v>-1</v>
      </c>
      <c r="J92" s="105">
        <f t="shared" ref="J92:M92" si="245">IF(E92="","",J91+T92)</f>
        <v>247762.230967081</v>
      </c>
      <c r="K92" s="105">
        <f t="shared" si="245"/>
        <v>283831.93957984</v>
      </c>
      <c r="L92" s="105">
        <f t="shared" si="245"/>
        <v>426349.31594242</v>
      </c>
      <c r="M92" s="105">
        <f t="shared" si="245"/>
        <v>596375.379288141</v>
      </c>
      <c r="N92" s="105">
        <f t="shared" si="224"/>
        <v>1696623.59106713</v>
      </c>
      <c r="O92" s="106">
        <f t="shared" ref="O92:R92" si="246">IF(J91="","",J91*0.03)</f>
        <v>7662.74941135301</v>
      </c>
      <c r="P92" s="107">
        <f t="shared" si="246"/>
        <v>8778.30740968577</v>
      </c>
      <c r="Q92" s="107">
        <f t="shared" si="246"/>
        <v>13186.0613178068</v>
      </c>
      <c r="R92" s="107">
        <f t="shared" si="246"/>
        <v>18444.5993594271</v>
      </c>
      <c r="S92" s="107">
        <f t="shared" si="226"/>
        <v>52472.8945690865</v>
      </c>
      <c r="T92" s="106">
        <f t="shared" ref="T92:X92" si="247">IF(E92="","",O92*E92)</f>
        <v>-7662.74941135301</v>
      </c>
      <c r="U92" s="107">
        <f t="shared" si="247"/>
        <v>-8778.30740968577</v>
      </c>
      <c r="V92" s="107">
        <f t="shared" si="247"/>
        <v>-13186.0613178068</v>
      </c>
      <c r="W92" s="107">
        <f t="shared" si="247"/>
        <v>-18444.5993594271</v>
      </c>
      <c r="X92" s="122">
        <f t="shared" si="247"/>
        <v>-52472.8945690865</v>
      </c>
      <c r="Y92" s="181"/>
      <c r="Z92" s="181"/>
      <c r="AA92" s="166"/>
    </row>
    <row r="93" spans="1:27">
      <c r="A93" s="54">
        <v>67</v>
      </c>
      <c r="B93" s="55">
        <v>44019</v>
      </c>
      <c r="C93" s="56">
        <f>C6</f>
        <v>1</v>
      </c>
      <c r="D93" s="57">
        <v>1</v>
      </c>
      <c r="E93" s="58">
        <f t="shared" si="228"/>
        <v>1.27</v>
      </c>
      <c r="F93" s="59">
        <f t="shared" si="229"/>
        <v>1.5</v>
      </c>
      <c r="G93" s="75">
        <f t="shared" si="230"/>
        <v>2</v>
      </c>
      <c r="H93" s="60">
        <v>0</v>
      </c>
      <c r="I93" s="96">
        <v>0</v>
      </c>
      <c r="J93" s="97">
        <f t="shared" ref="J93:M93" si="248">IF(E93="","",J92+T93)</f>
        <v>257201.971966927</v>
      </c>
      <c r="K93" s="97">
        <f t="shared" si="248"/>
        <v>296604.376860933</v>
      </c>
      <c r="L93" s="97">
        <f t="shared" si="248"/>
        <v>451930.274898965</v>
      </c>
      <c r="M93" s="97">
        <f t="shared" si="248"/>
        <v>596375.379288141</v>
      </c>
      <c r="N93" s="97">
        <f t="shared" si="224"/>
        <v>1696623.59106713</v>
      </c>
      <c r="O93" s="98">
        <f t="shared" ref="O93:R93" si="249">IF(J92="","",J92*0.03)</f>
        <v>7432.86692901242</v>
      </c>
      <c r="P93" s="99">
        <f t="shared" si="249"/>
        <v>8514.95818739519</v>
      </c>
      <c r="Q93" s="99">
        <f t="shared" si="249"/>
        <v>12790.4794782726</v>
      </c>
      <c r="R93" s="99">
        <f t="shared" si="249"/>
        <v>17891.2613786442</v>
      </c>
      <c r="S93" s="99">
        <f t="shared" si="226"/>
        <v>50898.7077320139</v>
      </c>
      <c r="T93" s="98">
        <f t="shared" ref="T93:X93" si="250">IF(E93="","",O93*E93)</f>
        <v>9439.74099984578</v>
      </c>
      <c r="U93" s="99">
        <f t="shared" si="250"/>
        <v>12772.4372810928</v>
      </c>
      <c r="V93" s="99">
        <f t="shared" si="250"/>
        <v>25580.9589565452</v>
      </c>
      <c r="W93" s="99">
        <f t="shared" si="250"/>
        <v>0</v>
      </c>
      <c r="X93" s="120">
        <f t="shared" si="250"/>
        <v>0</v>
      </c>
      <c r="Y93" s="182"/>
      <c r="Z93" s="182"/>
      <c r="AA93" s="173"/>
    </row>
    <row r="94" spans="1:27">
      <c r="A94" s="54">
        <v>68</v>
      </c>
      <c r="B94" s="55">
        <v>44020</v>
      </c>
      <c r="C94" s="56">
        <f>C6</f>
        <v>1</v>
      </c>
      <c r="D94" s="57">
        <v>1</v>
      </c>
      <c r="E94" s="58">
        <f t="shared" si="228"/>
        <v>1.27</v>
      </c>
      <c r="F94" s="59">
        <f t="shared" si="229"/>
        <v>1.5</v>
      </c>
      <c r="G94" s="75">
        <f t="shared" si="230"/>
        <v>2</v>
      </c>
      <c r="H94" s="60">
        <f>(1.1325-1.1278)/(1.1278-1.126)*C94</f>
        <v>2.61111111111116</v>
      </c>
      <c r="I94" s="96">
        <f>(1.1278-1.1278)/(1.1278-1.126)*C94</f>
        <v>0</v>
      </c>
      <c r="J94" s="97">
        <f t="shared" ref="J94:M94" si="251">IF(E94="","",J93+T94)</f>
        <v>267001.367098866</v>
      </c>
      <c r="K94" s="97">
        <f t="shared" si="251"/>
        <v>309951.573819675</v>
      </c>
      <c r="L94" s="97">
        <f t="shared" si="251"/>
        <v>479046.091392903</v>
      </c>
      <c r="M94" s="97">
        <f t="shared" si="251"/>
        <v>643091.450665713</v>
      </c>
      <c r="N94" s="97">
        <f t="shared" si="224"/>
        <v>1696623.59106713</v>
      </c>
      <c r="O94" s="98">
        <f t="shared" ref="O94:R94" si="252">IF(J93="","",J93*0.03)</f>
        <v>7716.05915900779</v>
      </c>
      <c r="P94" s="99">
        <f t="shared" si="252"/>
        <v>8898.13130582798</v>
      </c>
      <c r="Q94" s="99">
        <f t="shared" si="252"/>
        <v>13557.908246969</v>
      </c>
      <c r="R94" s="99">
        <f t="shared" si="252"/>
        <v>17891.2613786442</v>
      </c>
      <c r="S94" s="99">
        <f t="shared" si="226"/>
        <v>50898.7077320139</v>
      </c>
      <c r="T94" s="98">
        <f t="shared" ref="T94:X94" si="253">IF(E94="","",O94*E94)</f>
        <v>9799.3951319399</v>
      </c>
      <c r="U94" s="99">
        <f t="shared" si="253"/>
        <v>13347.196958742</v>
      </c>
      <c r="V94" s="99">
        <f t="shared" si="253"/>
        <v>27115.8164939379</v>
      </c>
      <c r="W94" s="99">
        <f t="shared" si="253"/>
        <v>46716.0713775719</v>
      </c>
      <c r="X94" s="120">
        <f t="shared" si="253"/>
        <v>0</v>
      </c>
      <c r="Y94" s="182"/>
      <c r="Z94" s="182"/>
      <c r="AA94" s="173"/>
    </row>
    <row r="95" s="23" customFormat="1" spans="1:27">
      <c r="A95" s="68">
        <v>69</v>
      </c>
      <c r="B95" s="69">
        <v>44021</v>
      </c>
      <c r="C95" s="70">
        <f>C9</f>
        <v>1</v>
      </c>
      <c r="D95" s="71">
        <v>1</v>
      </c>
      <c r="E95" s="72">
        <f t="shared" si="234"/>
        <v>-1</v>
      </c>
      <c r="F95" s="73">
        <f t="shared" si="235"/>
        <v>-1</v>
      </c>
      <c r="G95" s="73">
        <f t="shared" si="236"/>
        <v>-1</v>
      </c>
      <c r="H95" s="74">
        <f t="shared" si="237"/>
        <v>-1</v>
      </c>
      <c r="I95" s="104">
        <f t="shared" si="238"/>
        <v>-1</v>
      </c>
      <c r="J95" s="105">
        <f t="shared" ref="J95:M95" si="254">IF(E95="","",J94+T95)</f>
        <v>258991.3260859</v>
      </c>
      <c r="K95" s="105">
        <f t="shared" si="254"/>
        <v>300653.026605084</v>
      </c>
      <c r="L95" s="105">
        <f t="shared" si="254"/>
        <v>464674.708651116</v>
      </c>
      <c r="M95" s="105">
        <f t="shared" si="254"/>
        <v>623798.707145742</v>
      </c>
      <c r="N95" s="105">
        <f t="shared" si="224"/>
        <v>1645724.88333512</v>
      </c>
      <c r="O95" s="106">
        <f t="shared" ref="O95:R95" si="255">IF(J94="","",J94*0.03)</f>
        <v>8010.04101296599</v>
      </c>
      <c r="P95" s="107">
        <f t="shared" si="255"/>
        <v>9298.54721459024</v>
      </c>
      <c r="Q95" s="107">
        <f t="shared" si="255"/>
        <v>14371.3827417871</v>
      </c>
      <c r="R95" s="107">
        <f t="shared" si="255"/>
        <v>19292.7435199714</v>
      </c>
      <c r="S95" s="107">
        <f t="shared" si="226"/>
        <v>50898.7077320139</v>
      </c>
      <c r="T95" s="106">
        <f t="shared" ref="T95:X95" si="256">IF(E95="","",O95*E95)</f>
        <v>-8010.04101296599</v>
      </c>
      <c r="U95" s="107">
        <f t="shared" si="256"/>
        <v>-9298.54721459024</v>
      </c>
      <c r="V95" s="107">
        <f t="shared" si="256"/>
        <v>-14371.3827417871</v>
      </c>
      <c r="W95" s="107">
        <f t="shared" si="256"/>
        <v>-19292.7435199714</v>
      </c>
      <c r="X95" s="122">
        <f t="shared" si="256"/>
        <v>-50898.7077320139</v>
      </c>
      <c r="Y95" s="181"/>
      <c r="Z95" s="181"/>
      <c r="AA95" s="166"/>
    </row>
    <row r="96" s="21" customFormat="1" spans="1:27">
      <c r="A96" s="47">
        <v>70</v>
      </c>
      <c r="B96" s="48">
        <v>44022</v>
      </c>
      <c r="C96" s="49">
        <f>C4</f>
        <v>1</v>
      </c>
      <c r="D96" s="50">
        <v>1</v>
      </c>
      <c r="E96" s="51">
        <f t="shared" ref="E96:E99" si="257">1.27*C96</f>
        <v>1.27</v>
      </c>
      <c r="F96" s="52">
        <f t="shared" ref="F96:F99" si="258">1.5*C96</f>
        <v>1.5</v>
      </c>
      <c r="G96" s="52">
        <f t="shared" ref="G96:G99" si="259">2*C96</f>
        <v>2</v>
      </c>
      <c r="H96" s="53">
        <f>(1.1389-1.1281)/(1.1281-1.1253)*C96</f>
        <v>3.85714285714264</v>
      </c>
      <c r="I96" s="92">
        <f>(1.1376-1.1281)/(1.1281-1.1253)*C96</f>
        <v>3.39285714285692</v>
      </c>
      <c r="J96" s="93">
        <f t="shared" ref="J96:M96" si="260">IF(E96="","",J95+T96)</f>
        <v>268858.895609773</v>
      </c>
      <c r="K96" s="93">
        <f t="shared" si="260"/>
        <v>314182.412802313</v>
      </c>
      <c r="L96" s="93">
        <f t="shared" si="260"/>
        <v>492555.191170183</v>
      </c>
      <c r="M96" s="93">
        <f t="shared" si="260"/>
        <v>695981.128972602</v>
      </c>
      <c r="N96" s="93">
        <f t="shared" si="224"/>
        <v>1813236.16610314</v>
      </c>
      <c r="O96" s="94">
        <f t="shared" ref="O96:R96" si="261">IF(J95="","",J95*0.03)</f>
        <v>7769.73978257701</v>
      </c>
      <c r="P96" s="95">
        <f t="shared" si="261"/>
        <v>9019.59079815253</v>
      </c>
      <c r="Q96" s="95">
        <f t="shared" si="261"/>
        <v>13940.2412595335</v>
      </c>
      <c r="R96" s="95">
        <f t="shared" si="261"/>
        <v>18713.9612143723</v>
      </c>
      <c r="S96" s="95">
        <f t="shared" si="226"/>
        <v>49371.7465000535</v>
      </c>
      <c r="T96" s="94">
        <f t="shared" ref="T96:X96" si="262">IF(E96="","",O96*E96)</f>
        <v>9867.5695238728</v>
      </c>
      <c r="U96" s="95">
        <f t="shared" si="262"/>
        <v>13529.3861972288</v>
      </c>
      <c r="V96" s="95">
        <f t="shared" si="262"/>
        <v>27880.482519067</v>
      </c>
      <c r="W96" s="95">
        <f t="shared" si="262"/>
        <v>72182.4218268604</v>
      </c>
      <c r="X96" s="119">
        <f t="shared" si="262"/>
        <v>167511.282768028</v>
      </c>
      <c r="Y96" s="184"/>
      <c r="Z96" s="184"/>
      <c r="AA96" s="168"/>
    </row>
    <row r="97" s="21" customFormat="1" spans="1:27">
      <c r="A97" s="47">
        <v>71</v>
      </c>
      <c r="B97" s="48">
        <v>44026</v>
      </c>
      <c r="C97" s="49">
        <f>C10</f>
        <v>1</v>
      </c>
      <c r="D97" s="50">
        <v>1</v>
      </c>
      <c r="E97" s="51">
        <f t="shared" si="257"/>
        <v>1.27</v>
      </c>
      <c r="F97" s="52">
        <f t="shared" si="258"/>
        <v>1.5</v>
      </c>
      <c r="G97" s="52">
        <f t="shared" si="259"/>
        <v>2</v>
      </c>
      <c r="H97" s="53">
        <f>(1.1389-1.1345)/(1.1345-1.1323)*C97</f>
        <v>2</v>
      </c>
      <c r="I97" s="92">
        <f>(1.1376-1.1345)/(1.1345-1.1323)*C97</f>
        <v>1.40909090909087</v>
      </c>
      <c r="J97" s="93">
        <f t="shared" ref="J97:M97" si="263">IF(E97="","",J96+T97)</f>
        <v>279102.419532506</v>
      </c>
      <c r="K97" s="93">
        <f t="shared" si="263"/>
        <v>328320.621378417</v>
      </c>
      <c r="L97" s="93">
        <f t="shared" si="263"/>
        <v>522108.502640394</v>
      </c>
      <c r="M97" s="93">
        <f t="shared" si="263"/>
        <v>737739.996710958</v>
      </c>
      <c r="N97" s="93">
        <f t="shared" si="224"/>
        <v>1889886.60403387</v>
      </c>
      <c r="O97" s="94">
        <f t="shared" ref="O97:R97" si="264">IF(J96="","",J96*0.03)</f>
        <v>8065.76686829319</v>
      </c>
      <c r="P97" s="95">
        <f t="shared" si="264"/>
        <v>9425.47238406939</v>
      </c>
      <c r="Q97" s="95">
        <f t="shared" si="264"/>
        <v>14776.6557351055</v>
      </c>
      <c r="R97" s="95">
        <f t="shared" si="264"/>
        <v>20879.4338691781</v>
      </c>
      <c r="S97" s="95">
        <f t="shared" si="226"/>
        <v>54397.0849830943</v>
      </c>
      <c r="T97" s="94">
        <f t="shared" ref="T97:X97" si="265">IF(E97="","",O97*E97)</f>
        <v>10243.5239227324</v>
      </c>
      <c r="U97" s="95">
        <f t="shared" si="265"/>
        <v>14138.2085761041</v>
      </c>
      <c r="V97" s="95">
        <f t="shared" si="265"/>
        <v>29553.311470211</v>
      </c>
      <c r="W97" s="95">
        <f t="shared" si="265"/>
        <v>41758.8677383561</v>
      </c>
      <c r="X97" s="119">
        <f t="shared" si="265"/>
        <v>76650.4379307216</v>
      </c>
      <c r="Y97" s="183"/>
      <c r="Z97" s="183"/>
      <c r="AA97" s="168"/>
    </row>
    <row r="98" spans="1:27">
      <c r="A98" s="54">
        <v>72</v>
      </c>
      <c r="B98" s="55">
        <v>44028</v>
      </c>
      <c r="C98" s="56">
        <f>C10</f>
        <v>1</v>
      </c>
      <c r="D98" s="57">
        <v>1</v>
      </c>
      <c r="E98" s="58">
        <f t="shared" si="257"/>
        <v>1.27</v>
      </c>
      <c r="F98" s="59">
        <f t="shared" si="258"/>
        <v>1.5</v>
      </c>
      <c r="G98" s="75">
        <f t="shared" si="259"/>
        <v>2</v>
      </c>
      <c r="H98" s="60">
        <f>(1.1396-1.1396)/(1.1396-1.1376)*C98</f>
        <v>0</v>
      </c>
      <c r="I98" s="96">
        <f>(1.1396-1.1396)/(1.1396-1.1376)*C98</f>
        <v>0</v>
      </c>
      <c r="J98" s="97">
        <f t="shared" ref="J98:M98" si="266">IF(E98="","",J97+T98)</f>
        <v>289736.221716694</v>
      </c>
      <c r="K98" s="97">
        <f t="shared" si="266"/>
        <v>343095.049340446</v>
      </c>
      <c r="L98" s="97">
        <f t="shared" si="266"/>
        <v>553435.012798818</v>
      </c>
      <c r="M98" s="97">
        <f t="shared" si="266"/>
        <v>737739.996710958</v>
      </c>
      <c r="N98" s="97">
        <f t="shared" si="224"/>
        <v>1889886.60403387</v>
      </c>
      <c r="O98" s="98">
        <f t="shared" ref="O98:R98" si="267">IF(J97="","",J97*0.03)</f>
        <v>8373.07258597517</v>
      </c>
      <c r="P98" s="99">
        <f t="shared" si="267"/>
        <v>9849.61864135252</v>
      </c>
      <c r="Q98" s="99">
        <f t="shared" si="267"/>
        <v>15663.2550792118</v>
      </c>
      <c r="R98" s="99">
        <f t="shared" si="267"/>
        <v>22132.1999013288</v>
      </c>
      <c r="S98" s="99">
        <f t="shared" si="226"/>
        <v>56696.598121016</v>
      </c>
      <c r="T98" s="98">
        <f t="shared" ref="T98:X98" si="268">IF(E98="","",O98*E98)</f>
        <v>10633.8021841885</v>
      </c>
      <c r="U98" s="99">
        <f t="shared" si="268"/>
        <v>14774.4279620288</v>
      </c>
      <c r="V98" s="99">
        <f t="shared" si="268"/>
        <v>31326.5101584236</v>
      </c>
      <c r="W98" s="99">
        <f t="shared" si="268"/>
        <v>0</v>
      </c>
      <c r="X98" s="120">
        <f t="shared" si="268"/>
        <v>0</v>
      </c>
      <c r="Y98" s="185"/>
      <c r="Z98" s="185"/>
      <c r="AA98" s="173"/>
    </row>
    <row r="99" spans="1:27">
      <c r="A99" s="54">
        <v>73</v>
      </c>
      <c r="B99" s="55">
        <v>44028</v>
      </c>
      <c r="C99" s="56">
        <f>C5</f>
        <v>1</v>
      </c>
      <c r="D99" s="57">
        <v>2</v>
      </c>
      <c r="E99" s="58">
        <f t="shared" si="257"/>
        <v>1.27</v>
      </c>
      <c r="F99" s="59">
        <f t="shared" si="258"/>
        <v>1.5</v>
      </c>
      <c r="G99" s="75">
        <f t="shared" si="259"/>
        <v>2</v>
      </c>
      <c r="H99" s="60">
        <f>(1.1422-1.1422)/(1.1422-1.1443)*C99</f>
        <v>0</v>
      </c>
      <c r="I99" s="96">
        <f>(1.1422-1.1422)/(1.1422-1.1443)*C99</f>
        <v>0</v>
      </c>
      <c r="J99" s="97">
        <f t="shared" ref="J99:M99" si="269">IF(E99="","",J98+T99)</f>
        <v>300775.1717641</v>
      </c>
      <c r="K99" s="97">
        <f t="shared" si="269"/>
        <v>358534.326560766</v>
      </c>
      <c r="L99" s="97">
        <f t="shared" si="269"/>
        <v>586641.113566747</v>
      </c>
      <c r="M99" s="97">
        <f t="shared" si="269"/>
        <v>737739.996710958</v>
      </c>
      <c r="N99" s="97">
        <f t="shared" si="224"/>
        <v>1889886.60403387</v>
      </c>
      <c r="O99" s="98">
        <f t="shared" ref="O99:R99" si="270">IF(J98="","",J98*0.03)</f>
        <v>8692.08665150082</v>
      </c>
      <c r="P99" s="99">
        <f t="shared" si="270"/>
        <v>10292.8514802134</v>
      </c>
      <c r="Q99" s="99">
        <f t="shared" si="270"/>
        <v>16603.0503839645</v>
      </c>
      <c r="R99" s="99">
        <f t="shared" si="270"/>
        <v>22132.1999013288</v>
      </c>
      <c r="S99" s="99">
        <f t="shared" si="226"/>
        <v>56696.598121016</v>
      </c>
      <c r="T99" s="98">
        <f t="shared" ref="T99:T117" si="271">IF(E99="","",O99*E99)</f>
        <v>11038.950047406</v>
      </c>
      <c r="U99" s="99">
        <f t="shared" ref="U99:U117" si="272">IF(F99="","",P99*F99)</f>
        <v>15439.2772203201</v>
      </c>
      <c r="V99" s="99">
        <f t="shared" ref="V99:V117" si="273">IF(G99="","",Q99*G99)</f>
        <v>33206.1007679291</v>
      </c>
      <c r="W99" s="99">
        <f t="shared" ref="W99:W117" si="274">IF(H99="","",R99*H99)</f>
        <v>0</v>
      </c>
      <c r="X99" s="120">
        <f t="shared" ref="X99:X109" si="275">IF(I99="","",S99*I99)</f>
        <v>0</v>
      </c>
      <c r="Y99" s="182"/>
      <c r="Z99" s="182"/>
      <c r="AA99" s="173"/>
    </row>
    <row r="100" s="23" customFormat="1" spans="1:27">
      <c r="A100" s="68">
        <v>74</v>
      </c>
      <c r="B100" s="69">
        <v>44032</v>
      </c>
      <c r="C100" s="70">
        <f>C4</f>
        <v>1</v>
      </c>
      <c r="D100" s="71">
        <v>2</v>
      </c>
      <c r="E100" s="72">
        <f t="shared" ref="E100:E104" si="276">-1*C100</f>
        <v>-1</v>
      </c>
      <c r="F100" s="73">
        <f t="shared" ref="F100:F104" si="277">-1*C100</f>
        <v>-1</v>
      </c>
      <c r="G100" s="73">
        <f t="shared" ref="G100:G102" si="278">-1*C100</f>
        <v>-1</v>
      </c>
      <c r="H100" s="74">
        <f t="shared" ref="H100:H102" si="279">-1*C100</f>
        <v>-1</v>
      </c>
      <c r="I100" s="104">
        <f t="shared" ref="I100:I102" si="280">-1*C100</f>
        <v>-1</v>
      </c>
      <c r="J100" s="105">
        <f t="shared" ref="J99:J117" si="281">IF(E100="","",J99+T100)</f>
        <v>291751.916611177</v>
      </c>
      <c r="K100" s="105">
        <f t="shared" ref="K99:K117" si="282">IF(F100="","",K99+U100)</f>
        <v>347778.296763943</v>
      </c>
      <c r="L100" s="105">
        <f t="shared" ref="L99:L117" si="283">IF(G100="","",L99+V100)</f>
        <v>569041.880159745</v>
      </c>
      <c r="M100" s="105">
        <f t="shared" ref="M99:M117" si="284">IF(H100="","",M99+W100)</f>
        <v>715607.79680963</v>
      </c>
      <c r="N100" s="105">
        <f t="shared" si="224"/>
        <v>1833190.00591285</v>
      </c>
      <c r="O100" s="106">
        <f t="shared" ref="O99:O117" si="285">IF(J99="","",J99*0.03)</f>
        <v>9023.255152923</v>
      </c>
      <c r="P100" s="107">
        <f t="shared" ref="P99:P117" si="286">IF(K99="","",K99*0.03)</f>
        <v>10756.029796823</v>
      </c>
      <c r="Q100" s="107">
        <f t="shared" ref="Q99:Q117" si="287">IF(L99="","",L99*0.03)</f>
        <v>17599.2334070024</v>
      </c>
      <c r="R100" s="107">
        <f t="shared" ref="R99:R117" si="288">IF(M99="","",M99*0.03)</f>
        <v>22132.1999013288</v>
      </c>
      <c r="S100" s="107">
        <f t="shared" si="226"/>
        <v>56696.598121016</v>
      </c>
      <c r="T100" s="106">
        <f t="shared" si="271"/>
        <v>-9023.255152923</v>
      </c>
      <c r="U100" s="107">
        <f t="shared" si="272"/>
        <v>-10756.029796823</v>
      </c>
      <c r="V100" s="107">
        <f t="shared" si="273"/>
        <v>-17599.2334070024</v>
      </c>
      <c r="W100" s="107">
        <f t="shared" si="274"/>
        <v>-22132.1999013288</v>
      </c>
      <c r="X100" s="122">
        <f t="shared" si="275"/>
        <v>-56696.598121016</v>
      </c>
      <c r="Y100" s="181"/>
      <c r="Z100" s="181"/>
      <c r="AA100" s="166"/>
    </row>
    <row r="101" s="23" customFormat="1" spans="1:27">
      <c r="A101" s="68">
        <v>75</v>
      </c>
      <c r="B101" s="69">
        <v>44032</v>
      </c>
      <c r="C101" s="70">
        <f>C4</f>
        <v>1</v>
      </c>
      <c r="D101" s="71">
        <v>2</v>
      </c>
      <c r="E101" s="72">
        <f t="shared" ref="E101:E109" si="289">1.27*C101</f>
        <v>1.27</v>
      </c>
      <c r="F101" s="73">
        <f t="shared" ref="F101:F107" si="290">1.5*C101</f>
        <v>1.5</v>
      </c>
      <c r="G101" s="73">
        <f t="shared" si="278"/>
        <v>-1</v>
      </c>
      <c r="H101" s="74">
        <f t="shared" si="279"/>
        <v>-1</v>
      </c>
      <c r="I101" s="104">
        <f t="shared" si="280"/>
        <v>-1</v>
      </c>
      <c r="J101" s="105">
        <f t="shared" si="281"/>
        <v>302867.664634063</v>
      </c>
      <c r="K101" s="105">
        <f t="shared" si="282"/>
        <v>363428.32011832</v>
      </c>
      <c r="L101" s="105">
        <f t="shared" si="283"/>
        <v>551970.623754952</v>
      </c>
      <c r="M101" s="105">
        <f t="shared" si="284"/>
        <v>694139.562905341</v>
      </c>
      <c r="N101" s="105">
        <f t="shared" si="224"/>
        <v>1778194.30573546</v>
      </c>
      <c r="O101" s="106">
        <f t="shared" si="285"/>
        <v>8752.55749833531</v>
      </c>
      <c r="P101" s="107">
        <f t="shared" si="286"/>
        <v>10433.3489029183</v>
      </c>
      <c r="Q101" s="107">
        <f t="shared" si="287"/>
        <v>17071.2564047923</v>
      </c>
      <c r="R101" s="107">
        <f t="shared" si="288"/>
        <v>21468.2339042889</v>
      </c>
      <c r="S101" s="107">
        <f t="shared" si="226"/>
        <v>54995.7001773855</v>
      </c>
      <c r="T101" s="106">
        <f t="shared" si="271"/>
        <v>11115.7480228858</v>
      </c>
      <c r="U101" s="107">
        <f t="shared" si="272"/>
        <v>15650.0233543774</v>
      </c>
      <c r="V101" s="107">
        <f t="shared" si="273"/>
        <v>-17071.2564047923</v>
      </c>
      <c r="W101" s="107">
        <f t="shared" si="274"/>
        <v>-21468.2339042889</v>
      </c>
      <c r="X101" s="122">
        <f t="shared" si="275"/>
        <v>-54995.7001773855</v>
      </c>
      <c r="Y101" s="181"/>
      <c r="Z101" s="181"/>
      <c r="AA101" s="166"/>
    </row>
    <row r="102" s="23" customFormat="1" spans="1:27">
      <c r="A102" s="68">
        <v>76</v>
      </c>
      <c r="B102" s="69">
        <v>44033</v>
      </c>
      <c r="C102" s="70">
        <f>C4</f>
        <v>1</v>
      </c>
      <c r="D102" s="71">
        <v>2</v>
      </c>
      <c r="E102" s="72">
        <f t="shared" si="276"/>
        <v>-1</v>
      </c>
      <c r="F102" s="73">
        <f t="shared" si="277"/>
        <v>-1</v>
      </c>
      <c r="G102" s="73">
        <f t="shared" si="278"/>
        <v>-1</v>
      </c>
      <c r="H102" s="74">
        <f t="shared" si="279"/>
        <v>-1</v>
      </c>
      <c r="I102" s="104">
        <f t="shared" si="280"/>
        <v>-1</v>
      </c>
      <c r="J102" s="105">
        <f t="shared" si="281"/>
        <v>293781.634695041</v>
      </c>
      <c r="K102" s="105">
        <f t="shared" si="282"/>
        <v>352525.470514771</v>
      </c>
      <c r="L102" s="105">
        <f t="shared" si="283"/>
        <v>535411.505042304</v>
      </c>
      <c r="M102" s="105">
        <f t="shared" si="284"/>
        <v>673315.376018181</v>
      </c>
      <c r="N102" s="105">
        <f t="shared" si="224"/>
        <v>1724848.4765634</v>
      </c>
      <c r="O102" s="106">
        <f t="shared" si="285"/>
        <v>9086.02993902188</v>
      </c>
      <c r="P102" s="107">
        <f t="shared" si="286"/>
        <v>10902.8496035496</v>
      </c>
      <c r="Q102" s="107">
        <f t="shared" si="287"/>
        <v>16559.1187126486</v>
      </c>
      <c r="R102" s="107">
        <f t="shared" si="288"/>
        <v>20824.1868871602</v>
      </c>
      <c r="S102" s="107">
        <f t="shared" si="226"/>
        <v>53345.8291720639</v>
      </c>
      <c r="T102" s="106">
        <f t="shared" si="271"/>
        <v>-9086.02993902188</v>
      </c>
      <c r="U102" s="107">
        <f t="shared" si="272"/>
        <v>-10902.8496035496</v>
      </c>
      <c r="V102" s="107">
        <f t="shared" si="273"/>
        <v>-16559.1187126486</v>
      </c>
      <c r="W102" s="107">
        <f t="shared" si="274"/>
        <v>-20824.1868871602</v>
      </c>
      <c r="X102" s="122">
        <f t="shared" si="275"/>
        <v>-53345.8291720639</v>
      </c>
      <c r="Y102" s="181"/>
      <c r="Z102" s="181"/>
      <c r="AA102" s="166"/>
    </row>
    <row r="103" s="21" customFormat="1" spans="1:27">
      <c r="A103" s="47">
        <v>77</v>
      </c>
      <c r="B103" s="48">
        <v>44033</v>
      </c>
      <c r="C103" s="49">
        <f>C10</f>
        <v>1</v>
      </c>
      <c r="D103" s="50">
        <v>1</v>
      </c>
      <c r="E103" s="51">
        <f t="shared" si="289"/>
        <v>1.27</v>
      </c>
      <c r="F103" s="52">
        <f t="shared" si="290"/>
        <v>1.5</v>
      </c>
      <c r="G103" s="52">
        <f t="shared" ref="G103:G107" si="291">2*C103</f>
        <v>2</v>
      </c>
      <c r="H103" s="53">
        <f>(1.1728-1.1462)/(1.1462-1.1423)*C103</f>
        <v>6.82051282051278</v>
      </c>
      <c r="I103" s="92">
        <f>(1.1728-1.1462)/(1.1462-1.1423)*C103</f>
        <v>6.82051282051278</v>
      </c>
      <c r="J103" s="93">
        <f t="shared" si="281"/>
        <v>304974.714976922</v>
      </c>
      <c r="K103" s="93">
        <f t="shared" si="282"/>
        <v>368389.116687936</v>
      </c>
      <c r="L103" s="93">
        <f t="shared" si="283"/>
        <v>567536.195344842</v>
      </c>
      <c r="M103" s="93">
        <f t="shared" si="284"/>
        <v>811086.060649592</v>
      </c>
      <c r="N103" s="93">
        <f t="shared" si="224"/>
        <v>2077779.01099868</v>
      </c>
      <c r="O103" s="94">
        <f t="shared" si="285"/>
        <v>8813.44904085123</v>
      </c>
      <c r="P103" s="95">
        <f t="shared" si="286"/>
        <v>10575.7641154431</v>
      </c>
      <c r="Q103" s="95">
        <f t="shared" si="287"/>
        <v>16062.3451512691</v>
      </c>
      <c r="R103" s="95">
        <f t="shared" si="288"/>
        <v>20199.4612805454</v>
      </c>
      <c r="S103" s="95">
        <f t="shared" si="226"/>
        <v>51745.454296902</v>
      </c>
      <c r="T103" s="94">
        <f t="shared" si="271"/>
        <v>11193.0802818811</v>
      </c>
      <c r="U103" s="95">
        <f t="shared" si="272"/>
        <v>15863.6461731647</v>
      </c>
      <c r="V103" s="95">
        <f t="shared" si="273"/>
        <v>32124.6903025382</v>
      </c>
      <c r="W103" s="95">
        <f t="shared" si="274"/>
        <v>137770.684631412</v>
      </c>
      <c r="X103" s="119">
        <f t="shared" si="275"/>
        <v>352930.534435278</v>
      </c>
      <c r="Y103" s="183"/>
      <c r="Z103" s="183"/>
      <c r="AA103" s="168"/>
    </row>
    <row r="104" s="23" customFormat="1" spans="1:27">
      <c r="A104" s="68">
        <v>78</v>
      </c>
      <c r="B104" s="69">
        <v>44035</v>
      </c>
      <c r="C104" s="70">
        <f>C4</f>
        <v>1</v>
      </c>
      <c r="D104" s="71">
        <v>2</v>
      </c>
      <c r="E104" s="72">
        <f t="shared" si="276"/>
        <v>-1</v>
      </c>
      <c r="F104" s="73">
        <f t="shared" si="277"/>
        <v>-1</v>
      </c>
      <c r="G104" s="73">
        <f>-1*C104</f>
        <v>-1</v>
      </c>
      <c r="H104" s="74">
        <f>-1*C104</f>
        <v>-1</v>
      </c>
      <c r="I104" s="104">
        <f>-1*C104</f>
        <v>-1</v>
      </c>
      <c r="J104" s="105">
        <f t="shared" si="281"/>
        <v>295825.473527614</v>
      </c>
      <c r="K104" s="105">
        <f t="shared" si="282"/>
        <v>357337.443187297</v>
      </c>
      <c r="L104" s="105">
        <f t="shared" si="283"/>
        <v>550510.109484497</v>
      </c>
      <c r="M104" s="105">
        <f t="shared" si="284"/>
        <v>786753.478830104</v>
      </c>
      <c r="N104" s="105">
        <f t="shared" si="224"/>
        <v>2015445.64066872</v>
      </c>
      <c r="O104" s="106">
        <f t="shared" si="285"/>
        <v>9149.24144930766</v>
      </c>
      <c r="P104" s="107">
        <f t="shared" si="286"/>
        <v>11051.6735006381</v>
      </c>
      <c r="Q104" s="107">
        <f t="shared" si="287"/>
        <v>17026.0858603453</v>
      </c>
      <c r="R104" s="107">
        <f t="shared" si="288"/>
        <v>24332.5818194878</v>
      </c>
      <c r="S104" s="107">
        <f t="shared" si="226"/>
        <v>62333.3703299604</v>
      </c>
      <c r="T104" s="106">
        <f t="shared" si="271"/>
        <v>-9149.24144930766</v>
      </c>
      <c r="U104" s="107">
        <f t="shared" si="272"/>
        <v>-11051.6735006381</v>
      </c>
      <c r="V104" s="107">
        <f t="shared" si="273"/>
        <v>-17026.0858603453</v>
      </c>
      <c r="W104" s="107">
        <f t="shared" si="274"/>
        <v>-24332.5818194878</v>
      </c>
      <c r="X104" s="122">
        <f t="shared" si="275"/>
        <v>-62333.3703299604</v>
      </c>
      <c r="Y104" s="181"/>
      <c r="Z104" s="181"/>
      <c r="AA104" s="166"/>
    </row>
    <row r="105" s="21" customFormat="1" spans="1:27">
      <c r="A105" s="47">
        <v>79</v>
      </c>
      <c r="B105" s="48">
        <v>44035</v>
      </c>
      <c r="C105" s="49">
        <f>C10</f>
        <v>1</v>
      </c>
      <c r="D105" s="50">
        <v>1</v>
      </c>
      <c r="E105" s="51">
        <f>1.27*C105</f>
        <v>1.27</v>
      </c>
      <c r="F105" s="52">
        <f>1.5*C105</f>
        <v>1.5</v>
      </c>
      <c r="G105" s="52">
        <f t="shared" si="291"/>
        <v>2</v>
      </c>
      <c r="H105" s="53">
        <f>(1.1728-1.1587)/(1.1587-1.1538)*C105</f>
        <v>2.87755102040809</v>
      </c>
      <c r="I105" s="92">
        <f>(1.1728-1.1587)/(1.1587-1.1538)*C105</f>
        <v>2.87755102040809</v>
      </c>
      <c r="J105" s="93">
        <f t="shared" si="281"/>
        <v>307096.424069016</v>
      </c>
      <c r="K105" s="93">
        <f t="shared" si="282"/>
        <v>373417.628130726</v>
      </c>
      <c r="L105" s="93">
        <f t="shared" si="283"/>
        <v>583540.716053566</v>
      </c>
      <c r="M105" s="93">
        <f t="shared" si="284"/>
        <v>854671.17710462</v>
      </c>
      <c r="N105" s="93">
        <f t="shared" si="224"/>
        <v>2189432.07046522</v>
      </c>
      <c r="O105" s="94">
        <f t="shared" si="285"/>
        <v>8874.76420582843</v>
      </c>
      <c r="P105" s="95">
        <f t="shared" si="286"/>
        <v>10720.1232956189</v>
      </c>
      <c r="Q105" s="95">
        <f t="shared" si="287"/>
        <v>16515.3032845349</v>
      </c>
      <c r="R105" s="95">
        <f t="shared" si="288"/>
        <v>23602.6043649031</v>
      </c>
      <c r="S105" s="95">
        <f t="shared" si="226"/>
        <v>60463.3692200615</v>
      </c>
      <c r="T105" s="94">
        <f t="shared" si="271"/>
        <v>11270.9505414021</v>
      </c>
      <c r="U105" s="95">
        <f t="shared" si="272"/>
        <v>16080.1849434284</v>
      </c>
      <c r="V105" s="95">
        <f t="shared" si="273"/>
        <v>33030.6065690698</v>
      </c>
      <c r="W105" s="95">
        <f t="shared" si="274"/>
        <v>67917.6982745154</v>
      </c>
      <c r="X105" s="119">
        <f t="shared" si="275"/>
        <v>173986.429796499</v>
      </c>
      <c r="Y105" s="183"/>
      <c r="Z105" s="183"/>
      <c r="AA105" s="168"/>
    </row>
    <row r="106" s="21" customFormat="1" spans="1:27">
      <c r="A106" s="47">
        <v>80</v>
      </c>
      <c r="B106" s="48">
        <v>44036</v>
      </c>
      <c r="C106" s="49">
        <f>C10</f>
        <v>1</v>
      </c>
      <c r="D106" s="50">
        <v>1</v>
      </c>
      <c r="E106" s="51">
        <f t="shared" si="289"/>
        <v>1.27</v>
      </c>
      <c r="F106" s="52">
        <f t="shared" si="290"/>
        <v>1.5</v>
      </c>
      <c r="G106" s="52">
        <f t="shared" si="291"/>
        <v>2</v>
      </c>
      <c r="H106" s="53">
        <f>(1.1728-1.1602)/(1.1602-1.1579)*C106</f>
        <v>5.47826086956536</v>
      </c>
      <c r="I106" s="92">
        <f>(1.1728-1.1602)/(1.1602-1.1579)*C106</f>
        <v>5.47826086956536</v>
      </c>
      <c r="J106" s="93">
        <f t="shared" si="281"/>
        <v>318796.797826046</v>
      </c>
      <c r="K106" s="93">
        <f t="shared" si="282"/>
        <v>390221.421396609</v>
      </c>
      <c r="L106" s="93">
        <f t="shared" si="283"/>
        <v>618553.15901678</v>
      </c>
      <c r="M106" s="93">
        <f t="shared" si="284"/>
        <v>995134.527080948</v>
      </c>
      <c r="N106" s="93">
        <f t="shared" si="224"/>
        <v>2549260.47161125</v>
      </c>
      <c r="O106" s="94">
        <f t="shared" si="285"/>
        <v>9212.89272207049</v>
      </c>
      <c r="P106" s="95">
        <f t="shared" si="286"/>
        <v>11202.5288439218</v>
      </c>
      <c r="Q106" s="95">
        <f t="shared" si="287"/>
        <v>17506.221481607</v>
      </c>
      <c r="R106" s="95">
        <f t="shared" si="288"/>
        <v>25640.1353131386</v>
      </c>
      <c r="S106" s="95">
        <f t="shared" si="226"/>
        <v>65682.9621139565</v>
      </c>
      <c r="T106" s="94">
        <f t="shared" si="271"/>
        <v>11700.3737570295</v>
      </c>
      <c r="U106" s="95">
        <f t="shared" si="272"/>
        <v>16803.7932658827</v>
      </c>
      <c r="V106" s="95">
        <f t="shared" si="273"/>
        <v>35012.442963214</v>
      </c>
      <c r="W106" s="95">
        <f t="shared" si="274"/>
        <v>140463.349976328</v>
      </c>
      <c r="X106" s="119">
        <f t="shared" si="275"/>
        <v>359828.401146032</v>
      </c>
      <c r="Y106" s="183"/>
      <c r="Z106" s="183"/>
      <c r="AA106" s="168"/>
    </row>
    <row r="107" spans="1:27">
      <c r="A107" s="54">
        <v>81</v>
      </c>
      <c r="B107" s="55">
        <v>44040</v>
      </c>
      <c r="C107" s="56">
        <f>C10</f>
        <v>1</v>
      </c>
      <c r="D107" s="57">
        <v>1</v>
      </c>
      <c r="E107" s="58">
        <f t="shared" si="289"/>
        <v>1.27</v>
      </c>
      <c r="F107" s="59">
        <f t="shared" si="290"/>
        <v>1.5</v>
      </c>
      <c r="G107" s="75">
        <f t="shared" si="291"/>
        <v>2</v>
      </c>
      <c r="H107" s="60">
        <f>(1.1722-1.1722)/(1.1722-1.1696)*C107</f>
        <v>0</v>
      </c>
      <c r="I107" s="96">
        <f>(1.1722-1.1722)/(1.1722-1.1696)*C107</f>
        <v>0</v>
      </c>
      <c r="J107" s="97">
        <f t="shared" si="281"/>
        <v>330942.955823218</v>
      </c>
      <c r="K107" s="97">
        <f t="shared" si="282"/>
        <v>407781.385359456</v>
      </c>
      <c r="L107" s="97">
        <f t="shared" si="283"/>
        <v>655666.348557787</v>
      </c>
      <c r="M107" s="97">
        <f t="shared" si="284"/>
        <v>995134.527080948</v>
      </c>
      <c r="N107" s="97">
        <f t="shared" si="224"/>
        <v>2549260.47161125</v>
      </c>
      <c r="O107" s="98">
        <f t="shared" si="285"/>
        <v>9563.90393478138</v>
      </c>
      <c r="P107" s="99">
        <f t="shared" si="286"/>
        <v>11706.6426418983</v>
      </c>
      <c r="Q107" s="99">
        <f t="shared" si="287"/>
        <v>18556.5947705034</v>
      </c>
      <c r="R107" s="99">
        <f t="shared" si="288"/>
        <v>29854.0358124284</v>
      </c>
      <c r="S107" s="99">
        <f t="shared" si="226"/>
        <v>76477.8141483375</v>
      </c>
      <c r="T107" s="98">
        <f t="shared" si="271"/>
        <v>12146.1579971723</v>
      </c>
      <c r="U107" s="99">
        <f t="shared" si="272"/>
        <v>17559.9639628474</v>
      </c>
      <c r="V107" s="99">
        <f t="shared" si="273"/>
        <v>37113.1895410068</v>
      </c>
      <c r="W107" s="99">
        <f t="shared" si="274"/>
        <v>0</v>
      </c>
      <c r="X107" s="120">
        <f t="shared" si="275"/>
        <v>0</v>
      </c>
      <c r="Y107" s="182"/>
      <c r="Z107" s="182"/>
      <c r="AA107" s="173"/>
    </row>
    <row r="108" s="23" customFormat="1" spans="1:27">
      <c r="A108" s="68">
        <v>82</v>
      </c>
      <c r="B108" s="69">
        <v>44041</v>
      </c>
      <c r="C108" s="70">
        <f>C4</f>
        <v>1</v>
      </c>
      <c r="D108" s="71">
        <v>2</v>
      </c>
      <c r="E108" s="72">
        <f t="shared" si="289"/>
        <v>1.27</v>
      </c>
      <c r="F108" s="73">
        <f>-1*C108</f>
        <v>-1</v>
      </c>
      <c r="G108" s="73">
        <f>-1*C108</f>
        <v>-1</v>
      </c>
      <c r="H108" s="74">
        <f>-1*C108</f>
        <v>-1</v>
      </c>
      <c r="I108" s="104">
        <f>-1*C108</f>
        <v>-1</v>
      </c>
      <c r="J108" s="105">
        <f t="shared" si="281"/>
        <v>343551.882440083</v>
      </c>
      <c r="K108" s="105">
        <f t="shared" si="282"/>
        <v>395547.943798672</v>
      </c>
      <c r="L108" s="105">
        <f t="shared" si="283"/>
        <v>635996.358101054</v>
      </c>
      <c r="M108" s="105">
        <f t="shared" si="284"/>
        <v>965280.49126852</v>
      </c>
      <c r="N108" s="105">
        <f t="shared" si="224"/>
        <v>2472782.65746291</v>
      </c>
      <c r="O108" s="106">
        <f t="shared" si="285"/>
        <v>9928.28867469655</v>
      </c>
      <c r="P108" s="107">
        <f t="shared" si="286"/>
        <v>12233.4415607837</v>
      </c>
      <c r="Q108" s="107">
        <f t="shared" si="287"/>
        <v>19669.9904567336</v>
      </c>
      <c r="R108" s="107">
        <f t="shared" si="288"/>
        <v>29854.0358124284</v>
      </c>
      <c r="S108" s="107">
        <f t="shared" si="226"/>
        <v>76477.8141483375</v>
      </c>
      <c r="T108" s="106">
        <f t="shared" si="271"/>
        <v>12608.9266168646</v>
      </c>
      <c r="U108" s="107">
        <f t="shared" si="272"/>
        <v>-12233.4415607837</v>
      </c>
      <c r="V108" s="107">
        <f t="shared" si="273"/>
        <v>-19669.9904567336</v>
      </c>
      <c r="W108" s="107">
        <f t="shared" si="274"/>
        <v>-29854.0358124284</v>
      </c>
      <c r="X108" s="122">
        <f t="shared" si="275"/>
        <v>-76477.8141483375</v>
      </c>
      <c r="Y108" s="181"/>
      <c r="Z108" s="181"/>
      <c r="AA108" s="166"/>
    </row>
    <row r="109" spans="1:27">
      <c r="A109" s="54">
        <v>83</v>
      </c>
      <c r="B109" s="55">
        <v>44042</v>
      </c>
      <c r="C109" s="56">
        <f>C10</f>
        <v>1</v>
      </c>
      <c r="D109" s="57">
        <v>1</v>
      </c>
      <c r="E109" s="58">
        <f t="shared" si="289"/>
        <v>1.27</v>
      </c>
      <c r="F109" s="59">
        <f t="shared" ref="F109:F113" si="292">1.5*C109</f>
        <v>1.5</v>
      </c>
      <c r="G109" s="75">
        <f t="shared" ref="G109:G113" si="293">2*C109</f>
        <v>2</v>
      </c>
      <c r="H109" s="60">
        <f>(1.1762-1.1762)/(1.1762-1.1728)*C109</f>
        <v>0</v>
      </c>
      <c r="I109" s="96">
        <f>(1.1762-1.1762)/(1.1762-1.1728)*C109</f>
        <v>0</v>
      </c>
      <c r="J109" s="97">
        <f t="shared" si="281"/>
        <v>356641.20916105</v>
      </c>
      <c r="K109" s="97">
        <f t="shared" si="282"/>
        <v>413347.601269612</v>
      </c>
      <c r="L109" s="97">
        <f t="shared" si="283"/>
        <v>674156.139587117</v>
      </c>
      <c r="M109" s="97">
        <f t="shared" si="284"/>
        <v>965280.49126852</v>
      </c>
      <c r="N109" s="97">
        <f t="shared" si="224"/>
        <v>2472782.65746291</v>
      </c>
      <c r="O109" s="98">
        <f t="shared" si="285"/>
        <v>10306.5564732025</v>
      </c>
      <c r="P109" s="99">
        <f t="shared" si="286"/>
        <v>11866.4383139602</v>
      </c>
      <c r="Q109" s="99">
        <f t="shared" si="287"/>
        <v>19079.8907430316</v>
      </c>
      <c r="R109" s="99">
        <f t="shared" si="288"/>
        <v>28958.4147380556</v>
      </c>
      <c r="S109" s="99">
        <f t="shared" si="226"/>
        <v>74183.4797238874</v>
      </c>
      <c r="T109" s="98">
        <f t="shared" si="271"/>
        <v>13089.3267209672</v>
      </c>
      <c r="U109" s="99">
        <f t="shared" si="272"/>
        <v>17799.6574709402</v>
      </c>
      <c r="V109" s="99">
        <f t="shared" si="273"/>
        <v>38159.7814860632</v>
      </c>
      <c r="W109" s="99">
        <f t="shared" si="274"/>
        <v>0</v>
      </c>
      <c r="X109" s="120">
        <f t="shared" si="275"/>
        <v>0</v>
      </c>
      <c r="Y109" s="182"/>
      <c r="Z109" s="182"/>
      <c r="AA109" s="173"/>
    </row>
    <row r="110" ht="37.5" spans="1:27">
      <c r="A110" s="54"/>
      <c r="B110" s="55">
        <v>44046</v>
      </c>
      <c r="C110" s="56"/>
      <c r="D110" s="57"/>
      <c r="E110" s="58"/>
      <c r="F110" s="59"/>
      <c r="G110" s="75"/>
      <c r="H110" s="60"/>
      <c r="I110" s="96"/>
      <c r="J110" s="97"/>
      <c r="K110" s="97"/>
      <c r="L110" s="97"/>
      <c r="M110" s="97"/>
      <c r="N110" s="97"/>
      <c r="O110" s="98"/>
      <c r="P110" s="99"/>
      <c r="Q110" s="99"/>
      <c r="R110" s="99"/>
      <c r="S110" s="99"/>
      <c r="T110" s="98"/>
      <c r="U110" s="99"/>
      <c r="V110" s="99"/>
      <c r="W110" s="99"/>
      <c r="X110" s="120"/>
      <c r="Y110" s="142" t="s">
        <v>71</v>
      </c>
      <c r="Z110" s="182"/>
      <c r="AA110" s="173"/>
    </row>
    <row r="111" spans="1:27">
      <c r="A111" s="54">
        <v>84</v>
      </c>
      <c r="B111" s="55">
        <v>44047</v>
      </c>
      <c r="C111" s="56">
        <f>C6</f>
        <v>1</v>
      </c>
      <c r="D111" s="57">
        <v>2</v>
      </c>
      <c r="E111" s="58">
        <f t="shared" ref="E111:E113" si="294">1.27*C111</f>
        <v>1.27</v>
      </c>
      <c r="F111" s="59">
        <f t="shared" si="292"/>
        <v>1.5</v>
      </c>
      <c r="G111" s="75">
        <f t="shared" si="293"/>
        <v>2</v>
      </c>
      <c r="H111" s="60">
        <f>(1.179-1.179)/(1.179-1.1806)*C111</f>
        <v>0</v>
      </c>
      <c r="I111" s="96">
        <f>(1.179-1.179)/(1.179-1.1806)*C111</f>
        <v>0</v>
      </c>
      <c r="J111" s="97">
        <f t="shared" ref="J111:N111" si="295">IF(E111="","",J109+T111)</f>
        <v>370229.239230086</v>
      </c>
      <c r="K111" s="97">
        <f t="shared" si="295"/>
        <v>431948.243326745</v>
      </c>
      <c r="L111" s="97">
        <f t="shared" si="295"/>
        <v>714605.507962344</v>
      </c>
      <c r="M111" s="97">
        <f t="shared" si="295"/>
        <v>965280.49126852</v>
      </c>
      <c r="N111" s="97">
        <f t="shared" si="295"/>
        <v>2472782.65746291</v>
      </c>
      <c r="O111" s="98">
        <f t="shared" ref="O111:S111" si="296">IF(J109="","",J109*0.03)</f>
        <v>10699.2362748315</v>
      </c>
      <c r="P111" s="99">
        <f t="shared" si="296"/>
        <v>12400.4280380884</v>
      </c>
      <c r="Q111" s="99">
        <f t="shared" si="296"/>
        <v>20224.6841876135</v>
      </c>
      <c r="R111" s="99">
        <f t="shared" si="296"/>
        <v>28958.4147380556</v>
      </c>
      <c r="S111" s="99">
        <f t="shared" si="296"/>
        <v>74183.4797238874</v>
      </c>
      <c r="T111" s="98">
        <f t="shared" ref="T111:W111" si="297">IF(E111="","",O111*E111)</f>
        <v>13588.030069036</v>
      </c>
      <c r="U111" s="99">
        <f t="shared" si="297"/>
        <v>18600.6420571326</v>
      </c>
      <c r="V111" s="99">
        <f t="shared" si="297"/>
        <v>40449.368375227</v>
      </c>
      <c r="W111" s="99">
        <f t="shared" si="297"/>
        <v>0</v>
      </c>
      <c r="X111" s="120">
        <f t="shared" ref="X111:X150" si="298">IF(I111="","",S111*I111)</f>
        <v>0</v>
      </c>
      <c r="Y111" s="142" t="s">
        <v>72</v>
      </c>
      <c r="Z111" s="182"/>
      <c r="AA111" s="173"/>
    </row>
    <row r="112" s="21" customFormat="1" ht="37.5" spans="1:27">
      <c r="A112" s="47">
        <v>85</v>
      </c>
      <c r="B112" s="48">
        <v>44047</v>
      </c>
      <c r="C112" s="49">
        <f>C5</f>
        <v>1</v>
      </c>
      <c r="D112" s="50">
        <v>1</v>
      </c>
      <c r="E112" s="51">
        <f t="shared" si="294"/>
        <v>1.27</v>
      </c>
      <c r="F112" s="52">
        <f t="shared" si="292"/>
        <v>1.5</v>
      </c>
      <c r="G112" s="52">
        <f t="shared" si="293"/>
        <v>2</v>
      </c>
      <c r="H112" s="53">
        <f>(1.1852-1.1739)/(1.1739-1.1719)*C112</f>
        <v>5.65000000000004</v>
      </c>
      <c r="I112" s="92">
        <f>(1.1817-1.1739)/(1.1739-1.1719)*C112</f>
        <v>3.90000000000001</v>
      </c>
      <c r="J112" s="93">
        <f t="shared" ref="J112:N112" si="299">IF(E112="","",J111+T112)</f>
        <v>384334.973244752</v>
      </c>
      <c r="K112" s="93">
        <f t="shared" si="299"/>
        <v>451385.914276449</v>
      </c>
      <c r="L112" s="93">
        <f t="shared" si="299"/>
        <v>757481.838440084</v>
      </c>
      <c r="M112" s="93">
        <f t="shared" si="299"/>
        <v>1128895.53453853</v>
      </c>
      <c r="N112" s="93">
        <f t="shared" si="299"/>
        <v>2762098.22838607</v>
      </c>
      <c r="O112" s="94">
        <f t="shared" ref="O112:S112" si="300">IF(J111="","",J111*0.03)</f>
        <v>11106.8771769026</v>
      </c>
      <c r="P112" s="95">
        <f t="shared" si="300"/>
        <v>12958.4472998024</v>
      </c>
      <c r="Q112" s="95">
        <f t="shared" si="300"/>
        <v>21438.1652388703</v>
      </c>
      <c r="R112" s="95">
        <f t="shared" si="300"/>
        <v>28958.4147380556</v>
      </c>
      <c r="S112" s="95">
        <f t="shared" si="300"/>
        <v>74183.4797238874</v>
      </c>
      <c r="T112" s="94">
        <f t="shared" ref="T112:W112" si="301">IF(E112="","",O112*E112)</f>
        <v>14105.7340146663</v>
      </c>
      <c r="U112" s="95">
        <f t="shared" si="301"/>
        <v>19437.6709497035</v>
      </c>
      <c r="V112" s="95">
        <f t="shared" si="301"/>
        <v>42876.3304777406</v>
      </c>
      <c r="W112" s="95">
        <f t="shared" si="301"/>
        <v>163615.043270015</v>
      </c>
      <c r="X112" s="119">
        <f t="shared" si="298"/>
        <v>289315.570923162</v>
      </c>
      <c r="Y112" s="137" t="s">
        <v>73</v>
      </c>
      <c r="Z112" s="183"/>
      <c r="AA112" s="168"/>
    </row>
    <row r="113" s="21" customFormat="1" spans="1:27">
      <c r="A113" s="47">
        <v>86</v>
      </c>
      <c r="B113" s="48">
        <v>44049</v>
      </c>
      <c r="C113" s="49">
        <f>C4</f>
        <v>1</v>
      </c>
      <c r="D113" s="50">
        <v>2</v>
      </c>
      <c r="E113" s="51">
        <f t="shared" si="294"/>
        <v>1.27</v>
      </c>
      <c r="F113" s="52">
        <f t="shared" si="292"/>
        <v>1.5</v>
      </c>
      <c r="G113" s="52">
        <f t="shared" si="293"/>
        <v>2</v>
      </c>
      <c r="H113" s="53">
        <f>(1.1793-1.187)/(1.187-1.1917)*C113</f>
        <v>1.63829787234046</v>
      </c>
      <c r="I113" s="92">
        <f>(1.1808-1.187)/(1.187-1.1917)*C113</f>
        <v>1.31914893617023</v>
      </c>
      <c r="J113" s="93">
        <f t="shared" ref="J113:N113" si="302">IF(E113="","",J112+T113)</f>
        <v>398978.135725377</v>
      </c>
      <c r="K113" s="93">
        <f t="shared" si="302"/>
        <v>471698.280418889</v>
      </c>
      <c r="L113" s="93">
        <f t="shared" si="302"/>
        <v>802930.74874649</v>
      </c>
      <c r="M113" s="93">
        <f t="shared" si="302"/>
        <v>1184379.54910841</v>
      </c>
      <c r="N113" s="93">
        <f t="shared" si="302"/>
        <v>2871406.79657327</v>
      </c>
      <c r="O113" s="94">
        <f t="shared" ref="O113:S113" si="303">IF(J112="","",J112*0.03)</f>
        <v>11530.0491973426</v>
      </c>
      <c r="P113" s="95">
        <f t="shared" si="303"/>
        <v>13541.5774282935</v>
      </c>
      <c r="Q113" s="95">
        <f t="shared" si="303"/>
        <v>22724.4551532025</v>
      </c>
      <c r="R113" s="95">
        <f t="shared" si="303"/>
        <v>33866.866036156</v>
      </c>
      <c r="S113" s="95">
        <f t="shared" si="303"/>
        <v>82862.9468515822</v>
      </c>
      <c r="T113" s="94">
        <f t="shared" ref="T113:W113" si="304">IF(E113="","",O113*E113)</f>
        <v>14643.1624806251</v>
      </c>
      <c r="U113" s="95">
        <f t="shared" si="304"/>
        <v>20312.3661424402</v>
      </c>
      <c r="V113" s="95">
        <f t="shared" si="304"/>
        <v>45448.9103064051</v>
      </c>
      <c r="W113" s="95">
        <f t="shared" si="304"/>
        <v>55484.0145698738</v>
      </c>
      <c r="X113" s="119">
        <f t="shared" si="298"/>
        <v>109308.568187195</v>
      </c>
      <c r="Y113" s="183"/>
      <c r="Z113" s="183"/>
      <c r="AA113" s="168"/>
    </row>
    <row r="114" s="23" customFormat="1" spans="1:27">
      <c r="A114" s="68">
        <v>87</v>
      </c>
      <c r="B114" s="69">
        <v>44049</v>
      </c>
      <c r="C114" s="70">
        <f>C9</f>
        <v>1</v>
      </c>
      <c r="D114" s="71">
        <v>1</v>
      </c>
      <c r="E114" s="72">
        <f>-1*C114</f>
        <v>-1</v>
      </c>
      <c r="F114" s="73">
        <f>-1*C114</f>
        <v>-1</v>
      </c>
      <c r="G114" s="73">
        <f t="shared" ref="G114:G117" si="305">-1*C114</f>
        <v>-1</v>
      </c>
      <c r="H114" s="74">
        <f t="shared" ref="H114:H117" si="306">-1*C114</f>
        <v>-1</v>
      </c>
      <c r="I114" s="104">
        <f t="shared" ref="I114:I117" si="307">-1*C114</f>
        <v>-1</v>
      </c>
      <c r="J114" s="105">
        <f t="shared" ref="J114:N114" si="308">IF(E114="","",J113+T114)</f>
        <v>387008.791653616</v>
      </c>
      <c r="K114" s="105">
        <f t="shared" si="308"/>
        <v>457547.332006322</v>
      </c>
      <c r="L114" s="105">
        <f t="shared" si="308"/>
        <v>778842.826284095</v>
      </c>
      <c r="M114" s="105">
        <f t="shared" si="308"/>
        <v>1148848.16263516</v>
      </c>
      <c r="N114" s="105">
        <f t="shared" si="308"/>
        <v>2785264.59267607</v>
      </c>
      <c r="O114" s="106">
        <f t="shared" ref="O114:S114" si="309">IF(J113="","",J113*0.03)</f>
        <v>11969.3440717613</v>
      </c>
      <c r="P114" s="107">
        <f t="shared" si="309"/>
        <v>14150.9484125667</v>
      </c>
      <c r="Q114" s="107">
        <f t="shared" si="309"/>
        <v>24087.9224623947</v>
      </c>
      <c r="R114" s="107">
        <f t="shared" si="309"/>
        <v>35531.3864732523</v>
      </c>
      <c r="S114" s="107">
        <f t="shared" si="309"/>
        <v>86142.2038971981</v>
      </c>
      <c r="T114" s="106">
        <f t="shared" ref="T114:W114" si="310">IF(E114="","",O114*E114)</f>
        <v>-11969.3440717613</v>
      </c>
      <c r="U114" s="107">
        <f t="shared" si="310"/>
        <v>-14150.9484125667</v>
      </c>
      <c r="V114" s="107">
        <f t="shared" si="310"/>
        <v>-24087.9224623947</v>
      </c>
      <c r="W114" s="107">
        <f t="shared" si="310"/>
        <v>-35531.3864732523</v>
      </c>
      <c r="X114" s="122">
        <f t="shared" si="298"/>
        <v>-86142.2038971981</v>
      </c>
      <c r="Y114" s="181"/>
      <c r="Z114" s="181"/>
      <c r="AA114" s="166"/>
    </row>
    <row r="115" s="23" customFormat="1" spans="1:27">
      <c r="A115" s="68">
        <v>88</v>
      </c>
      <c r="B115" s="69">
        <v>44050</v>
      </c>
      <c r="C115" s="70">
        <f>C9</f>
        <v>1</v>
      </c>
      <c r="D115" s="71">
        <v>1</v>
      </c>
      <c r="E115" s="72">
        <f>-1*C115</f>
        <v>-1</v>
      </c>
      <c r="F115" s="73">
        <f>-1*C115</f>
        <v>-1</v>
      </c>
      <c r="G115" s="73">
        <f t="shared" si="305"/>
        <v>-1</v>
      </c>
      <c r="H115" s="74">
        <f t="shared" si="306"/>
        <v>-1</v>
      </c>
      <c r="I115" s="104">
        <f t="shared" si="307"/>
        <v>-1</v>
      </c>
      <c r="J115" s="105">
        <f t="shared" ref="J115:N115" si="311">IF(E115="","",J114+T115)</f>
        <v>375398.527904008</v>
      </c>
      <c r="K115" s="105">
        <f t="shared" si="311"/>
        <v>443820.912046132</v>
      </c>
      <c r="L115" s="105">
        <f t="shared" si="311"/>
        <v>755477.541495572</v>
      </c>
      <c r="M115" s="105">
        <f t="shared" si="311"/>
        <v>1114382.7177561</v>
      </c>
      <c r="N115" s="105">
        <f t="shared" si="311"/>
        <v>2701706.65489579</v>
      </c>
      <c r="O115" s="106">
        <f t="shared" ref="O115:S115" si="312">IF(J114="","",J114*0.03)</f>
        <v>11610.2637496085</v>
      </c>
      <c r="P115" s="107">
        <f t="shared" si="312"/>
        <v>13726.4199601897</v>
      </c>
      <c r="Q115" s="107">
        <f t="shared" si="312"/>
        <v>23365.2847885228</v>
      </c>
      <c r="R115" s="107">
        <f t="shared" si="312"/>
        <v>34465.4448790547</v>
      </c>
      <c r="S115" s="107">
        <f t="shared" si="312"/>
        <v>83557.9377802821</v>
      </c>
      <c r="T115" s="106">
        <f t="shared" ref="T115:W115" si="313">IF(E115="","",O115*E115)</f>
        <v>-11610.2637496085</v>
      </c>
      <c r="U115" s="107">
        <f t="shared" si="313"/>
        <v>-13726.4199601897</v>
      </c>
      <c r="V115" s="107">
        <f t="shared" si="313"/>
        <v>-23365.2847885228</v>
      </c>
      <c r="W115" s="107">
        <f t="shared" si="313"/>
        <v>-34465.4448790547</v>
      </c>
      <c r="X115" s="122">
        <f t="shared" si="298"/>
        <v>-83557.9377802821</v>
      </c>
      <c r="Y115" s="186"/>
      <c r="Z115" s="186"/>
      <c r="AA115" s="166"/>
    </row>
    <row r="116" spans="1:27">
      <c r="A116" s="54">
        <v>89</v>
      </c>
      <c r="B116" s="55">
        <v>44053</v>
      </c>
      <c r="C116" s="56">
        <f t="shared" ref="C116:C118" si="314">C4</f>
        <v>1</v>
      </c>
      <c r="D116" s="57">
        <v>1</v>
      </c>
      <c r="E116" s="58">
        <f t="shared" ref="E116:E119" si="315">1.27*C116</f>
        <v>1.27</v>
      </c>
      <c r="F116" s="59">
        <f t="shared" ref="F116:F119" si="316">1.5*C116</f>
        <v>1.5</v>
      </c>
      <c r="G116" s="75">
        <f t="shared" ref="G116:G119" si="317">2*C116</f>
        <v>2</v>
      </c>
      <c r="H116" s="60">
        <f>(1.1757-1.1757)/(1.1757-1.1739)*C116</f>
        <v>0</v>
      </c>
      <c r="I116" s="96">
        <f>(1.1757-1.1757)/(1.1757-1.1739)*C116</f>
        <v>0</v>
      </c>
      <c r="J116" s="97">
        <f t="shared" ref="J116:N116" si="318">IF(E116="","",J115+T116)</f>
        <v>389701.21181715</v>
      </c>
      <c r="K116" s="97">
        <f t="shared" si="318"/>
        <v>463792.853088208</v>
      </c>
      <c r="L116" s="97">
        <f t="shared" si="318"/>
        <v>800806.193985306</v>
      </c>
      <c r="M116" s="97">
        <f t="shared" si="318"/>
        <v>1114382.7177561</v>
      </c>
      <c r="N116" s="97">
        <f t="shared" si="318"/>
        <v>2701706.65489579</v>
      </c>
      <c r="O116" s="98">
        <f t="shared" ref="O116:S116" si="319">IF(J115="","",J115*0.03)</f>
        <v>11261.9558371202</v>
      </c>
      <c r="P116" s="99">
        <f t="shared" si="319"/>
        <v>13314.627361384</v>
      </c>
      <c r="Q116" s="99">
        <f t="shared" si="319"/>
        <v>22664.3262448672</v>
      </c>
      <c r="R116" s="99">
        <f t="shared" si="319"/>
        <v>33431.4815326831</v>
      </c>
      <c r="S116" s="99">
        <f t="shared" si="319"/>
        <v>81051.1996468736</v>
      </c>
      <c r="T116" s="98">
        <f t="shared" ref="T116:W116" si="320">IF(E116="","",O116*E116)</f>
        <v>14302.6839131427</v>
      </c>
      <c r="U116" s="99">
        <f t="shared" si="320"/>
        <v>19971.941042076</v>
      </c>
      <c r="V116" s="99">
        <f t="shared" si="320"/>
        <v>45328.6524897343</v>
      </c>
      <c r="W116" s="99">
        <f t="shared" si="320"/>
        <v>0</v>
      </c>
      <c r="X116" s="120">
        <f t="shared" si="298"/>
        <v>0</v>
      </c>
      <c r="Y116" s="182"/>
      <c r="Z116" s="182"/>
      <c r="AA116" s="173"/>
    </row>
    <row r="117" s="23" customFormat="1" spans="1:27">
      <c r="A117" s="68">
        <v>90</v>
      </c>
      <c r="B117" s="69">
        <v>44054</v>
      </c>
      <c r="C117" s="70">
        <f t="shared" si="314"/>
        <v>1</v>
      </c>
      <c r="D117" s="71">
        <v>1</v>
      </c>
      <c r="E117" s="72">
        <f t="shared" si="315"/>
        <v>1.27</v>
      </c>
      <c r="F117" s="73">
        <f t="shared" si="316"/>
        <v>1.5</v>
      </c>
      <c r="G117" s="73">
        <f t="shared" si="305"/>
        <v>-1</v>
      </c>
      <c r="H117" s="74">
        <f t="shared" si="306"/>
        <v>-1</v>
      </c>
      <c r="I117" s="104">
        <f t="shared" si="307"/>
        <v>-1</v>
      </c>
      <c r="J117" s="105">
        <f t="shared" ref="J117:N117" si="321">IF(E117="","",J116+T117)</f>
        <v>404548.827987384</v>
      </c>
      <c r="K117" s="105">
        <f t="shared" si="321"/>
        <v>484663.531477178</v>
      </c>
      <c r="L117" s="105">
        <f t="shared" si="321"/>
        <v>776782.008165747</v>
      </c>
      <c r="M117" s="105">
        <f t="shared" si="321"/>
        <v>1080951.23622342</v>
      </c>
      <c r="N117" s="105">
        <f t="shared" si="321"/>
        <v>2620655.45524891</v>
      </c>
      <c r="O117" s="106">
        <f t="shared" ref="O117:S117" si="322">IF(J116="","",J116*0.03)</f>
        <v>11691.0363545145</v>
      </c>
      <c r="P117" s="107">
        <f t="shared" si="322"/>
        <v>13913.7855926463</v>
      </c>
      <c r="Q117" s="107">
        <f t="shared" si="322"/>
        <v>24024.1858195592</v>
      </c>
      <c r="R117" s="107">
        <f t="shared" si="322"/>
        <v>33431.4815326831</v>
      </c>
      <c r="S117" s="107">
        <f t="shared" si="322"/>
        <v>81051.1996468736</v>
      </c>
      <c r="T117" s="106">
        <f t="shared" ref="T117:W117" si="323">IF(E117="","",O117*E117)</f>
        <v>14847.6161702334</v>
      </c>
      <c r="U117" s="107">
        <f t="shared" si="323"/>
        <v>20870.6783889694</v>
      </c>
      <c r="V117" s="107">
        <f t="shared" si="323"/>
        <v>-24024.1858195592</v>
      </c>
      <c r="W117" s="107">
        <f t="shared" si="323"/>
        <v>-33431.4815326831</v>
      </c>
      <c r="X117" s="122">
        <f t="shared" si="298"/>
        <v>-81051.1996468736</v>
      </c>
      <c r="Y117" s="181"/>
      <c r="Z117" s="181"/>
      <c r="AA117" s="166"/>
    </row>
    <row r="118" spans="1:27">
      <c r="A118" s="54">
        <v>91</v>
      </c>
      <c r="B118" s="55">
        <v>44054</v>
      </c>
      <c r="C118" s="56">
        <f>C9</f>
        <v>1</v>
      </c>
      <c r="D118" s="57">
        <v>2</v>
      </c>
      <c r="E118" s="58">
        <f t="shared" si="315"/>
        <v>1.27</v>
      </c>
      <c r="F118" s="59">
        <f t="shared" si="316"/>
        <v>1.5</v>
      </c>
      <c r="G118" s="75">
        <f t="shared" si="317"/>
        <v>2</v>
      </c>
      <c r="H118" s="60">
        <f>(1.1746-1.1785)/(1.1785-1.1808)*C118</f>
        <v>1.69565217391307</v>
      </c>
      <c r="I118" s="96">
        <f>(1.1785-1.1785)/(1.1785-1.1808)*C118</f>
        <v>0</v>
      </c>
      <c r="J118" s="97">
        <f t="shared" ref="J118:N118" si="324">IF(E118="","",J117+T118)</f>
        <v>419962.138333703</v>
      </c>
      <c r="K118" s="97">
        <f t="shared" si="324"/>
        <v>506473.390393651</v>
      </c>
      <c r="L118" s="97">
        <f t="shared" si="324"/>
        <v>823388.928655692</v>
      </c>
      <c r="M118" s="97">
        <f t="shared" si="324"/>
        <v>1135938.75563131</v>
      </c>
      <c r="N118" s="97">
        <f t="shared" si="324"/>
        <v>2620655.45524891</v>
      </c>
      <c r="O118" s="98">
        <f t="shared" ref="O118:S118" si="325">IF(J117="","",J117*0.03)</f>
        <v>12136.4648396215</v>
      </c>
      <c r="P118" s="99">
        <f t="shared" si="325"/>
        <v>14539.9059443153</v>
      </c>
      <c r="Q118" s="99">
        <f t="shared" si="325"/>
        <v>23303.4602449724</v>
      </c>
      <c r="R118" s="99">
        <f t="shared" si="325"/>
        <v>32428.5370867026</v>
      </c>
      <c r="S118" s="99">
        <f t="shared" si="325"/>
        <v>78619.6636574674</v>
      </c>
      <c r="T118" s="98">
        <f t="shared" ref="T118:W118" si="326">IF(E118="","",O118*E118)</f>
        <v>15413.3103463193</v>
      </c>
      <c r="U118" s="99">
        <f t="shared" si="326"/>
        <v>21809.858916473</v>
      </c>
      <c r="V118" s="99">
        <f t="shared" si="326"/>
        <v>46606.9204899448</v>
      </c>
      <c r="W118" s="99">
        <f t="shared" si="326"/>
        <v>54987.5194078879</v>
      </c>
      <c r="X118" s="120">
        <f t="shared" si="298"/>
        <v>0</v>
      </c>
      <c r="Y118" s="182"/>
      <c r="Z118" s="182"/>
      <c r="AA118" s="173"/>
    </row>
    <row r="119" s="21" customFormat="1" spans="1:27">
      <c r="A119" s="47">
        <v>92</v>
      </c>
      <c r="B119" s="48">
        <v>44055</v>
      </c>
      <c r="C119" s="49">
        <f>C5</f>
        <v>1</v>
      </c>
      <c r="D119" s="50">
        <v>1</v>
      </c>
      <c r="E119" s="51">
        <f t="shared" si="315"/>
        <v>1.27</v>
      </c>
      <c r="F119" s="52">
        <f t="shared" si="316"/>
        <v>1.5</v>
      </c>
      <c r="G119" s="52">
        <f t="shared" si="317"/>
        <v>2</v>
      </c>
      <c r="H119" s="53">
        <f>(1.1799-1.1726)/(1.1726-1.1709)*C119</f>
        <v>4.29411764705865</v>
      </c>
      <c r="I119" s="92">
        <f>(1.1789-1.1726)/(1.1726-1.1709)*C119</f>
        <v>3.70588235294108</v>
      </c>
      <c r="J119" s="93">
        <f t="shared" ref="J119:J149" si="327">IF(E119="","",J118+T119)</f>
        <v>435962.695804217</v>
      </c>
      <c r="K119" s="93">
        <f t="shared" ref="K119:K149" si="328">IF(F119="","",K118+U119)</f>
        <v>529264.692961365</v>
      </c>
      <c r="L119" s="93">
        <f t="shared" ref="L119:L149" si="329">IF(G119="","",L118+V119)</f>
        <v>872792.264375034</v>
      </c>
      <c r="M119" s="93">
        <f t="shared" ref="M119:M149" si="330">IF(H119="","",M118+W119)</f>
        <v>1282274.39532733</v>
      </c>
      <c r="N119" s="93">
        <f t="shared" ref="N119:N149" si="331">IF(I119="","",N118+X119)</f>
        <v>2912010.67939129</v>
      </c>
      <c r="O119" s="94">
        <f t="shared" ref="O119:O149" si="332">IF(J118="","",J118*0.03)</f>
        <v>12598.8641500111</v>
      </c>
      <c r="P119" s="95">
        <f t="shared" ref="P119:P149" si="333">IF(K118="","",K118*0.03)</f>
        <v>15194.2017118095</v>
      </c>
      <c r="Q119" s="95">
        <f t="shared" ref="Q119:Q149" si="334">IF(L118="","",L118*0.03)</f>
        <v>24701.6678596708</v>
      </c>
      <c r="R119" s="95">
        <f t="shared" ref="R119:R149" si="335">IF(M118="","",M118*0.03)</f>
        <v>34078.1626689392</v>
      </c>
      <c r="S119" s="95">
        <f t="shared" ref="S119:S149" si="336">IF(N118="","",N118*0.03)</f>
        <v>78619.6636574674</v>
      </c>
      <c r="T119" s="94">
        <f t="shared" ref="T119:T150" si="337">IF(E119="","",O119*E119)</f>
        <v>16000.5574705141</v>
      </c>
      <c r="U119" s="95">
        <f t="shared" ref="U119:U150" si="338">IF(F119="","",P119*F119)</f>
        <v>22791.3025677143</v>
      </c>
      <c r="V119" s="95">
        <f t="shared" ref="V119:V150" si="339">IF(G119="","",Q119*G119)</f>
        <v>49403.3357193415</v>
      </c>
      <c r="W119" s="95">
        <f t="shared" ref="W119:W150" si="340">IF(H119="","",R119*H119)</f>
        <v>146335.639696027</v>
      </c>
      <c r="X119" s="119">
        <f t="shared" si="298"/>
        <v>291355.224142372</v>
      </c>
      <c r="Y119" s="183"/>
      <c r="Z119" s="183"/>
      <c r="AA119" s="168"/>
    </row>
    <row r="120" s="23" customFormat="1" spans="1:27">
      <c r="A120" s="68">
        <v>93</v>
      </c>
      <c r="B120" s="69">
        <v>44055</v>
      </c>
      <c r="C120" s="70">
        <f>C10</f>
        <v>1</v>
      </c>
      <c r="D120" s="71">
        <v>2</v>
      </c>
      <c r="E120" s="72">
        <f t="shared" ref="E120:E123" si="341">-1*C120</f>
        <v>-1</v>
      </c>
      <c r="F120" s="73">
        <f t="shared" ref="F120:F123" si="342">-1*C120</f>
        <v>-1</v>
      </c>
      <c r="G120" s="73">
        <f t="shared" ref="G120:G123" si="343">-1*C120</f>
        <v>-1</v>
      </c>
      <c r="H120" s="74">
        <f t="shared" ref="H120:H123" si="344">-1*C120</f>
        <v>-1</v>
      </c>
      <c r="I120" s="104">
        <f t="shared" ref="I120:I123" si="345">-1*C120</f>
        <v>-1</v>
      </c>
      <c r="J120" s="105">
        <f t="shared" si="327"/>
        <v>422883.814930091</v>
      </c>
      <c r="K120" s="105">
        <f t="shared" si="328"/>
        <v>513386.752172524</v>
      </c>
      <c r="L120" s="105">
        <f t="shared" si="329"/>
        <v>846608.496443783</v>
      </c>
      <c r="M120" s="105">
        <f t="shared" si="330"/>
        <v>1243806.16346751</v>
      </c>
      <c r="N120" s="105">
        <f t="shared" si="331"/>
        <v>2824650.35900955</v>
      </c>
      <c r="O120" s="106">
        <f t="shared" si="332"/>
        <v>13078.8808741265</v>
      </c>
      <c r="P120" s="107">
        <f t="shared" si="333"/>
        <v>15877.940788841</v>
      </c>
      <c r="Q120" s="107">
        <f t="shared" si="334"/>
        <v>26183.767931251</v>
      </c>
      <c r="R120" s="107">
        <f t="shared" si="335"/>
        <v>38468.23185982</v>
      </c>
      <c r="S120" s="107">
        <f t="shared" si="336"/>
        <v>87360.3203817386</v>
      </c>
      <c r="T120" s="106">
        <f t="shared" si="337"/>
        <v>-13078.8808741265</v>
      </c>
      <c r="U120" s="107">
        <f t="shared" si="338"/>
        <v>-15877.940788841</v>
      </c>
      <c r="V120" s="107">
        <f t="shared" si="339"/>
        <v>-26183.767931251</v>
      </c>
      <c r="W120" s="107">
        <f t="shared" si="340"/>
        <v>-38468.23185982</v>
      </c>
      <c r="X120" s="122">
        <f t="shared" si="298"/>
        <v>-87360.3203817386</v>
      </c>
      <c r="Y120" s="181"/>
      <c r="Z120" s="181"/>
      <c r="AA120" s="166" t="s">
        <v>74</v>
      </c>
    </row>
    <row r="121" s="23" customFormat="1" spans="1:27">
      <c r="A121" s="68">
        <v>94</v>
      </c>
      <c r="B121" s="69">
        <v>44057</v>
      </c>
      <c r="C121" s="70">
        <f>C9</f>
        <v>1</v>
      </c>
      <c r="D121" s="71">
        <v>1</v>
      </c>
      <c r="E121" s="72">
        <f t="shared" si="341"/>
        <v>-1</v>
      </c>
      <c r="F121" s="73">
        <f t="shared" si="342"/>
        <v>-1</v>
      </c>
      <c r="G121" s="73">
        <f t="shared" si="343"/>
        <v>-1</v>
      </c>
      <c r="H121" s="74">
        <f t="shared" si="344"/>
        <v>-1</v>
      </c>
      <c r="I121" s="104">
        <f t="shared" si="345"/>
        <v>-1</v>
      </c>
      <c r="J121" s="105">
        <f t="shared" si="327"/>
        <v>410197.300482188</v>
      </c>
      <c r="K121" s="105">
        <f t="shared" si="328"/>
        <v>497985.149607348</v>
      </c>
      <c r="L121" s="105">
        <f t="shared" si="329"/>
        <v>821210.241550469</v>
      </c>
      <c r="M121" s="105">
        <f t="shared" si="330"/>
        <v>1206491.97856349</v>
      </c>
      <c r="N121" s="105">
        <f t="shared" si="331"/>
        <v>2739910.84823926</v>
      </c>
      <c r="O121" s="106">
        <f t="shared" si="332"/>
        <v>12686.5144479027</v>
      </c>
      <c r="P121" s="107">
        <f t="shared" si="333"/>
        <v>15401.6025651757</v>
      </c>
      <c r="Q121" s="107">
        <f t="shared" si="334"/>
        <v>25398.2548933135</v>
      </c>
      <c r="R121" s="107">
        <f t="shared" si="335"/>
        <v>37314.1849040254</v>
      </c>
      <c r="S121" s="107">
        <f t="shared" si="336"/>
        <v>84739.5107702864</v>
      </c>
      <c r="T121" s="106">
        <f t="shared" si="337"/>
        <v>-12686.5144479027</v>
      </c>
      <c r="U121" s="107">
        <f t="shared" si="338"/>
        <v>-15401.6025651757</v>
      </c>
      <c r="V121" s="107">
        <f t="shared" si="339"/>
        <v>-25398.2548933135</v>
      </c>
      <c r="W121" s="107">
        <f t="shared" si="340"/>
        <v>-37314.1849040254</v>
      </c>
      <c r="X121" s="122">
        <f t="shared" si="298"/>
        <v>-84739.5107702864</v>
      </c>
      <c r="Y121" s="181"/>
      <c r="Z121" s="181"/>
      <c r="AA121" s="166"/>
    </row>
    <row r="122" spans="1:27">
      <c r="A122" s="54">
        <v>95</v>
      </c>
      <c r="B122" s="55">
        <v>44057</v>
      </c>
      <c r="C122" s="56">
        <f>C9</f>
        <v>1</v>
      </c>
      <c r="D122" s="57">
        <v>1</v>
      </c>
      <c r="E122" s="58">
        <f t="shared" ref="E122:E126" si="346">1.27*C122</f>
        <v>1.27</v>
      </c>
      <c r="F122" s="59">
        <f t="shared" ref="F122:F126" si="347">1.5*C122</f>
        <v>1.5</v>
      </c>
      <c r="G122" s="75">
        <f t="shared" ref="G122:G126" si="348">2*C122</f>
        <v>2</v>
      </c>
      <c r="H122" s="60">
        <f>(1.1895-1.1811)/(1.1811-1.1779)*C122</f>
        <v>2.62499999999991</v>
      </c>
      <c r="I122" s="96">
        <f>(1.1811-1.1811)/(1.1811-1.1779)*C122</f>
        <v>0</v>
      </c>
      <c r="J122" s="97">
        <f t="shared" si="327"/>
        <v>425825.817630559</v>
      </c>
      <c r="K122" s="97">
        <f t="shared" si="328"/>
        <v>520394.481339679</v>
      </c>
      <c r="L122" s="97">
        <f t="shared" si="329"/>
        <v>870482.856043497</v>
      </c>
      <c r="M122" s="97">
        <f t="shared" si="330"/>
        <v>1301503.22187536</v>
      </c>
      <c r="N122" s="97">
        <f t="shared" si="331"/>
        <v>2739910.84823926</v>
      </c>
      <c r="O122" s="98">
        <f t="shared" si="332"/>
        <v>12305.9190144656</v>
      </c>
      <c r="P122" s="99">
        <f t="shared" si="333"/>
        <v>14939.5544882205</v>
      </c>
      <c r="Q122" s="99">
        <f t="shared" si="334"/>
        <v>24636.3072465141</v>
      </c>
      <c r="R122" s="99">
        <f t="shared" si="335"/>
        <v>36194.7593569047</v>
      </c>
      <c r="S122" s="99">
        <f t="shared" si="336"/>
        <v>82197.3254471778</v>
      </c>
      <c r="T122" s="98">
        <f t="shared" si="337"/>
        <v>15628.5171483714</v>
      </c>
      <c r="U122" s="99">
        <f t="shared" si="338"/>
        <v>22409.3317323307</v>
      </c>
      <c r="V122" s="99">
        <f t="shared" si="339"/>
        <v>49272.6144930281</v>
      </c>
      <c r="W122" s="99">
        <f t="shared" si="340"/>
        <v>95011.2433118716</v>
      </c>
      <c r="X122" s="120">
        <f t="shared" si="298"/>
        <v>0</v>
      </c>
      <c r="Y122" s="182"/>
      <c r="Z122" s="182"/>
      <c r="AA122" s="173"/>
    </row>
    <row r="123" s="23" customFormat="1" spans="1:27">
      <c r="A123" s="68">
        <v>96</v>
      </c>
      <c r="B123" s="69">
        <v>44063</v>
      </c>
      <c r="C123" s="70">
        <f>C4</f>
        <v>1</v>
      </c>
      <c r="D123" s="71">
        <v>1</v>
      </c>
      <c r="E123" s="72">
        <f t="shared" si="341"/>
        <v>-1</v>
      </c>
      <c r="F123" s="73">
        <f t="shared" si="342"/>
        <v>-1</v>
      </c>
      <c r="G123" s="73">
        <f t="shared" si="343"/>
        <v>-1</v>
      </c>
      <c r="H123" s="74">
        <f t="shared" si="344"/>
        <v>-1</v>
      </c>
      <c r="I123" s="104">
        <f t="shared" si="345"/>
        <v>-1</v>
      </c>
      <c r="J123" s="105">
        <f t="shared" si="327"/>
        <v>413051.043101643</v>
      </c>
      <c r="K123" s="105">
        <f t="shared" si="328"/>
        <v>504782.646899489</v>
      </c>
      <c r="L123" s="105">
        <f t="shared" si="329"/>
        <v>844368.370362192</v>
      </c>
      <c r="M123" s="105">
        <f t="shared" si="330"/>
        <v>1262458.1252191</v>
      </c>
      <c r="N123" s="105">
        <f t="shared" si="331"/>
        <v>2657713.52279208</v>
      </c>
      <c r="O123" s="106">
        <f t="shared" si="332"/>
        <v>12774.7745289168</v>
      </c>
      <c r="P123" s="107">
        <f t="shared" si="333"/>
        <v>15611.8344401904</v>
      </c>
      <c r="Q123" s="107">
        <f t="shared" si="334"/>
        <v>26114.4856813049</v>
      </c>
      <c r="R123" s="107">
        <f t="shared" si="335"/>
        <v>39045.0966562608</v>
      </c>
      <c r="S123" s="107">
        <f t="shared" si="336"/>
        <v>82197.3254471778</v>
      </c>
      <c r="T123" s="106">
        <f t="shared" si="337"/>
        <v>-12774.7745289168</v>
      </c>
      <c r="U123" s="107">
        <f t="shared" si="338"/>
        <v>-15611.8344401904</v>
      </c>
      <c r="V123" s="107">
        <f t="shared" si="339"/>
        <v>-26114.4856813049</v>
      </c>
      <c r="W123" s="107">
        <f t="shared" si="340"/>
        <v>-39045.0966562608</v>
      </c>
      <c r="X123" s="122">
        <f t="shared" si="298"/>
        <v>-82197.3254471778</v>
      </c>
      <c r="Y123" s="181"/>
      <c r="Z123" s="181"/>
      <c r="AA123" s="166"/>
    </row>
    <row r="124" spans="1:27">
      <c r="A124" s="54">
        <v>97</v>
      </c>
      <c r="B124" s="55">
        <v>44067</v>
      </c>
      <c r="C124" s="56">
        <f>C9</f>
        <v>1</v>
      </c>
      <c r="D124" s="57">
        <v>2</v>
      </c>
      <c r="E124" s="58">
        <f t="shared" si="346"/>
        <v>1.27</v>
      </c>
      <c r="F124" s="59">
        <f t="shared" si="347"/>
        <v>1.5</v>
      </c>
      <c r="G124" s="75">
        <f t="shared" si="348"/>
        <v>2</v>
      </c>
      <c r="H124" s="60">
        <f>(1.1831-1.1831)/(1.1831-1.185)*C124</f>
        <v>0</v>
      </c>
      <c r="I124" s="96">
        <f>(1.1831-1.1831)/(1.1831-1.185)*C124</f>
        <v>0</v>
      </c>
      <c r="J124" s="97">
        <f t="shared" si="327"/>
        <v>428788.287843815</v>
      </c>
      <c r="K124" s="97">
        <f t="shared" si="328"/>
        <v>527497.866009966</v>
      </c>
      <c r="L124" s="97">
        <f t="shared" si="329"/>
        <v>895030.472583924</v>
      </c>
      <c r="M124" s="97">
        <f t="shared" si="330"/>
        <v>1262458.1252191</v>
      </c>
      <c r="N124" s="97">
        <f t="shared" si="331"/>
        <v>2657713.52279208</v>
      </c>
      <c r="O124" s="98">
        <f t="shared" si="332"/>
        <v>12391.5312930493</v>
      </c>
      <c r="P124" s="99">
        <f t="shared" si="333"/>
        <v>15143.4794069847</v>
      </c>
      <c r="Q124" s="99">
        <f t="shared" si="334"/>
        <v>25331.0511108658</v>
      </c>
      <c r="R124" s="99">
        <f t="shared" si="335"/>
        <v>37873.743756573</v>
      </c>
      <c r="S124" s="99">
        <f t="shared" si="336"/>
        <v>79731.4056837625</v>
      </c>
      <c r="T124" s="98">
        <f t="shared" si="337"/>
        <v>15737.2447421726</v>
      </c>
      <c r="U124" s="99">
        <f t="shared" si="338"/>
        <v>22715.219110477</v>
      </c>
      <c r="V124" s="99">
        <f t="shared" si="339"/>
        <v>50662.1022217315</v>
      </c>
      <c r="W124" s="99">
        <f t="shared" si="340"/>
        <v>0</v>
      </c>
      <c r="X124" s="120">
        <f t="shared" si="298"/>
        <v>0</v>
      </c>
      <c r="Y124" s="182"/>
      <c r="Z124" s="182"/>
      <c r="AA124" s="173"/>
    </row>
    <row r="125" spans="1:27">
      <c r="A125" s="54">
        <v>98</v>
      </c>
      <c r="B125" s="55">
        <v>44068</v>
      </c>
      <c r="C125" s="56">
        <f>C11</f>
        <v>1</v>
      </c>
      <c r="D125" s="57">
        <v>2</v>
      </c>
      <c r="E125" s="58">
        <f t="shared" si="346"/>
        <v>1.27</v>
      </c>
      <c r="F125" s="59">
        <f t="shared" si="347"/>
        <v>1.5</v>
      </c>
      <c r="G125" s="75">
        <f t="shared" si="348"/>
        <v>2</v>
      </c>
      <c r="H125" s="60">
        <f>(1.1819-1.1819)/(1.1819-1.1843)*C125</f>
        <v>0</v>
      </c>
      <c r="I125" s="96">
        <f>(1.1819-1.1819)/(1.1819-1.1843)*C125</f>
        <v>0</v>
      </c>
      <c r="J125" s="97">
        <f t="shared" si="327"/>
        <v>445125.121610664</v>
      </c>
      <c r="K125" s="97">
        <f t="shared" si="328"/>
        <v>551235.269980414</v>
      </c>
      <c r="L125" s="97">
        <f t="shared" si="329"/>
        <v>948732.300938959</v>
      </c>
      <c r="M125" s="97">
        <f t="shared" si="330"/>
        <v>1262458.1252191</v>
      </c>
      <c r="N125" s="97">
        <f t="shared" si="331"/>
        <v>2657713.52279208</v>
      </c>
      <c r="O125" s="98">
        <f t="shared" si="332"/>
        <v>12863.6486353145</v>
      </c>
      <c r="P125" s="99">
        <f t="shared" si="333"/>
        <v>15824.935980299</v>
      </c>
      <c r="Q125" s="99">
        <f t="shared" si="334"/>
        <v>26850.9141775177</v>
      </c>
      <c r="R125" s="99">
        <f t="shared" si="335"/>
        <v>37873.743756573</v>
      </c>
      <c r="S125" s="99">
        <f t="shared" si="336"/>
        <v>79731.4056837625</v>
      </c>
      <c r="T125" s="98">
        <f t="shared" si="337"/>
        <v>16336.8337668494</v>
      </c>
      <c r="U125" s="99">
        <f t="shared" si="338"/>
        <v>23737.4039704485</v>
      </c>
      <c r="V125" s="99">
        <f t="shared" si="339"/>
        <v>53701.8283550354</v>
      </c>
      <c r="W125" s="99">
        <f t="shared" si="340"/>
        <v>0</v>
      </c>
      <c r="X125" s="120">
        <f t="shared" si="298"/>
        <v>0</v>
      </c>
      <c r="Y125" s="182"/>
      <c r="Z125" s="182"/>
      <c r="AA125" s="173"/>
    </row>
    <row r="126" spans="1:27">
      <c r="A126" s="54">
        <v>99</v>
      </c>
      <c r="B126" s="55">
        <v>44069</v>
      </c>
      <c r="C126" s="56">
        <f>C5</f>
        <v>1</v>
      </c>
      <c r="D126" s="57">
        <v>1</v>
      </c>
      <c r="E126" s="58">
        <f t="shared" si="346"/>
        <v>1.27</v>
      </c>
      <c r="F126" s="59">
        <f t="shared" si="347"/>
        <v>1.5</v>
      </c>
      <c r="G126" s="75">
        <f t="shared" si="348"/>
        <v>2</v>
      </c>
      <c r="H126" s="60">
        <f>(1.1798-1.1798)/(1.1798-1.177)*C126</f>
        <v>0</v>
      </c>
      <c r="I126" s="96">
        <f>(1.1798-1.1798)/(1.1798-1.177)*C126</f>
        <v>0</v>
      </c>
      <c r="J126" s="97">
        <f t="shared" si="327"/>
        <v>462084.388744031</v>
      </c>
      <c r="K126" s="97">
        <f t="shared" si="328"/>
        <v>576040.857129533</v>
      </c>
      <c r="L126" s="97">
        <f t="shared" si="329"/>
        <v>1005656.2389953</v>
      </c>
      <c r="M126" s="97">
        <f t="shared" si="330"/>
        <v>1262458.1252191</v>
      </c>
      <c r="N126" s="97">
        <f t="shared" si="331"/>
        <v>2657713.52279208</v>
      </c>
      <c r="O126" s="98">
        <f t="shared" si="332"/>
        <v>13353.7536483199</v>
      </c>
      <c r="P126" s="99">
        <f t="shared" si="333"/>
        <v>16537.0580994124</v>
      </c>
      <c r="Q126" s="99">
        <f t="shared" si="334"/>
        <v>28461.9690281688</v>
      </c>
      <c r="R126" s="99">
        <f t="shared" si="335"/>
        <v>37873.743756573</v>
      </c>
      <c r="S126" s="99">
        <f t="shared" si="336"/>
        <v>79731.4056837625</v>
      </c>
      <c r="T126" s="98">
        <f t="shared" si="337"/>
        <v>16959.2671333663</v>
      </c>
      <c r="U126" s="99">
        <f t="shared" si="338"/>
        <v>24805.5871491186</v>
      </c>
      <c r="V126" s="99">
        <f t="shared" si="339"/>
        <v>56923.9380563376</v>
      </c>
      <c r="W126" s="99">
        <f t="shared" si="340"/>
        <v>0</v>
      </c>
      <c r="X126" s="120">
        <f t="shared" si="298"/>
        <v>0</v>
      </c>
      <c r="Y126" s="182"/>
      <c r="Z126" s="182"/>
      <c r="AA126" s="173"/>
    </row>
    <row r="127" s="23" customFormat="1" spans="1:27">
      <c r="A127" s="68">
        <v>100</v>
      </c>
      <c r="B127" s="69">
        <v>44070</v>
      </c>
      <c r="C127" s="70">
        <f>C5</f>
        <v>1</v>
      </c>
      <c r="D127" s="71">
        <v>1</v>
      </c>
      <c r="E127" s="72">
        <f t="shared" ref="E127:E130" si="349">-1*C127</f>
        <v>-1</v>
      </c>
      <c r="F127" s="73">
        <f t="shared" ref="F127:F130" si="350">-1*C127</f>
        <v>-1</v>
      </c>
      <c r="G127" s="73">
        <f t="shared" ref="G127:G130" si="351">-1*C127</f>
        <v>-1</v>
      </c>
      <c r="H127" s="74">
        <f t="shared" ref="H127:H130" si="352">-1*C127</f>
        <v>-1</v>
      </c>
      <c r="I127" s="104">
        <f t="shared" ref="I127:I130" si="353">-1*C127</f>
        <v>-1</v>
      </c>
      <c r="J127" s="105">
        <f t="shared" si="327"/>
        <v>448221.85708171</v>
      </c>
      <c r="K127" s="105">
        <f t="shared" si="328"/>
        <v>558759.631415647</v>
      </c>
      <c r="L127" s="105">
        <f t="shared" si="329"/>
        <v>975486.551825438</v>
      </c>
      <c r="M127" s="105">
        <f t="shared" si="330"/>
        <v>1224584.38146253</v>
      </c>
      <c r="N127" s="105">
        <f t="shared" si="331"/>
        <v>2577982.11710832</v>
      </c>
      <c r="O127" s="106">
        <f t="shared" si="332"/>
        <v>13862.5316623209</v>
      </c>
      <c r="P127" s="107">
        <f t="shared" si="333"/>
        <v>17281.225713886</v>
      </c>
      <c r="Q127" s="107">
        <f t="shared" si="334"/>
        <v>30169.6871698589</v>
      </c>
      <c r="R127" s="107">
        <f t="shared" si="335"/>
        <v>37873.743756573</v>
      </c>
      <c r="S127" s="107">
        <f t="shared" si="336"/>
        <v>79731.4056837625</v>
      </c>
      <c r="T127" s="106">
        <f t="shared" si="337"/>
        <v>-13862.5316623209</v>
      </c>
      <c r="U127" s="107">
        <f t="shared" si="338"/>
        <v>-17281.225713886</v>
      </c>
      <c r="V127" s="107">
        <f t="shared" si="339"/>
        <v>-30169.6871698589</v>
      </c>
      <c r="W127" s="107">
        <f t="shared" si="340"/>
        <v>-37873.743756573</v>
      </c>
      <c r="X127" s="122">
        <f t="shared" si="298"/>
        <v>-79731.4056837625</v>
      </c>
      <c r="Y127" s="181"/>
      <c r="Z127" s="181"/>
      <c r="AA127" s="166"/>
    </row>
    <row r="128" spans="1:27">
      <c r="A128" s="54">
        <v>101</v>
      </c>
      <c r="B128" s="55">
        <v>44070</v>
      </c>
      <c r="C128" s="56">
        <f>C4</f>
        <v>1</v>
      </c>
      <c r="D128" s="57">
        <v>1</v>
      </c>
      <c r="E128" s="58">
        <f>1.27*C128</f>
        <v>1.27</v>
      </c>
      <c r="F128" s="59">
        <f>1.5*C128</f>
        <v>1.5</v>
      </c>
      <c r="G128" s="75">
        <f>2*C128</f>
        <v>2</v>
      </c>
      <c r="H128" s="60">
        <f>(1.1959-1.181)/(1.181-1.176)*C128</f>
        <v>2.97999999999991</v>
      </c>
      <c r="I128" s="96">
        <f>(1.181-1.181)/(1.181-1.176)*C128</f>
        <v>0</v>
      </c>
      <c r="J128" s="97">
        <f t="shared" si="327"/>
        <v>465299.109836523</v>
      </c>
      <c r="K128" s="97">
        <f t="shared" si="328"/>
        <v>583903.814829351</v>
      </c>
      <c r="L128" s="97">
        <f t="shared" si="329"/>
        <v>1034015.74493496</v>
      </c>
      <c r="M128" s="97">
        <f t="shared" si="330"/>
        <v>1334062.22516527</v>
      </c>
      <c r="N128" s="97">
        <f t="shared" si="331"/>
        <v>2577982.11710832</v>
      </c>
      <c r="O128" s="98">
        <f t="shared" si="332"/>
        <v>13446.6557124513</v>
      </c>
      <c r="P128" s="99">
        <f t="shared" si="333"/>
        <v>16762.7889424694</v>
      </c>
      <c r="Q128" s="99">
        <f t="shared" si="334"/>
        <v>29264.5965547631</v>
      </c>
      <c r="R128" s="99">
        <f t="shared" si="335"/>
        <v>36737.5314438758</v>
      </c>
      <c r="S128" s="99">
        <f t="shared" si="336"/>
        <v>77339.4635132496</v>
      </c>
      <c r="T128" s="98">
        <f t="shared" si="337"/>
        <v>17077.2527548131</v>
      </c>
      <c r="U128" s="99">
        <f t="shared" si="338"/>
        <v>25144.1834137041</v>
      </c>
      <c r="V128" s="99">
        <f t="shared" si="339"/>
        <v>58529.1931095263</v>
      </c>
      <c r="W128" s="99">
        <f t="shared" si="340"/>
        <v>109477.843702747</v>
      </c>
      <c r="X128" s="120">
        <f t="shared" si="298"/>
        <v>0</v>
      </c>
      <c r="Y128" s="182"/>
      <c r="Z128" s="182"/>
      <c r="AA128" s="173" t="s">
        <v>75</v>
      </c>
    </row>
    <row r="129" s="23" customFormat="1" spans="1:27">
      <c r="A129" s="68">
        <v>102</v>
      </c>
      <c r="B129" s="69">
        <v>44077</v>
      </c>
      <c r="C129" s="70">
        <f>C4</f>
        <v>1</v>
      </c>
      <c r="D129" s="71">
        <v>1</v>
      </c>
      <c r="E129" s="72">
        <f t="shared" si="349"/>
        <v>-1</v>
      </c>
      <c r="F129" s="73">
        <f t="shared" si="350"/>
        <v>-1</v>
      </c>
      <c r="G129" s="73">
        <f t="shared" si="351"/>
        <v>-1</v>
      </c>
      <c r="H129" s="74">
        <f t="shared" si="352"/>
        <v>-1</v>
      </c>
      <c r="I129" s="104">
        <f t="shared" si="353"/>
        <v>-1</v>
      </c>
      <c r="J129" s="105">
        <f t="shared" si="327"/>
        <v>451340.136541427</v>
      </c>
      <c r="K129" s="105">
        <f t="shared" si="328"/>
        <v>566386.700384471</v>
      </c>
      <c r="L129" s="105">
        <f t="shared" si="329"/>
        <v>1002995.27258692</v>
      </c>
      <c r="M129" s="105">
        <f t="shared" si="330"/>
        <v>1294040.35841031</v>
      </c>
      <c r="N129" s="105">
        <f t="shared" si="331"/>
        <v>2500642.65359507</v>
      </c>
      <c r="O129" s="106">
        <f t="shared" si="332"/>
        <v>13958.9732950957</v>
      </c>
      <c r="P129" s="107">
        <f t="shared" si="333"/>
        <v>17517.1144448805</v>
      </c>
      <c r="Q129" s="107">
        <f t="shared" si="334"/>
        <v>31020.4723480489</v>
      </c>
      <c r="R129" s="107">
        <f t="shared" si="335"/>
        <v>40021.8667549582</v>
      </c>
      <c r="S129" s="107">
        <f t="shared" si="336"/>
        <v>77339.4635132496</v>
      </c>
      <c r="T129" s="106">
        <f t="shared" si="337"/>
        <v>-13958.9732950957</v>
      </c>
      <c r="U129" s="107">
        <f t="shared" si="338"/>
        <v>-17517.1144448805</v>
      </c>
      <c r="V129" s="107">
        <f t="shared" si="339"/>
        <v>-31020.4723480489</v>
      </c>
      <c r="W129" s="107">
        <f t="shared" si="340"/>
        <v>-40021.8667549582</v>
      </c>
      <c r="X129" s="122">
        <f t="shared" si="298"/>
        <v>-77339.4635132496</v>
      </c>
      <c r="Y129" s="181"/>
      <c r="Z129" s="181"/>
      <c r="AA129" s="166"/>
    </row>
    <row r="130" s="23" customFormat="1" spans="1:27">
      <c r="A130" s="68">
        <v>103</v>
      </c>
      <c r="B130" s="69">
        <v>44078</v>
      </c>
      <c r="C130" s="70">
        <f>C4</f>
        <v>1</v>
      </c>
      <c r="D130" s="71">
        <v>1</v>
      </c>
      <c r="E130" s="72">
        <f t="shared" si="349"/>
        <v>-1</v>
      </c>
      <c r="F130" s="73">
        <f t="shared" si="350"/>
        <v>-1</v>
      </c>
      <c r="G130" s="73">
        <f t="shared" si="351"/>
        <v>-1</v>
      </c>
      <c r="H130" s="74">
        <f t="shared" si="352"/>
        <v>-1</v>
      </c>
      <c r="I130" s="104">
        <f t="shared" si="353"/>
        <v>-1</v>
      </c>
      <c r="J130" s="105">
        <f t="shared" si="327"/>
        <v>437799.932445184</v>
      </c>
      <c r="K130" s="105">
        <f t="shared" si="328"/>
        <v>549395.099372936</v>
      </c>
      <c r="L130" s="105">
        <f t="shared" si="329"/>
        <v>972905.414409308</v>
      </c>
      <c r="M130" s="105">
        <f t="shared" si="330"/>
        <v>1255219.14765801</v>
      </c>
      <c r="N130" s="105">
        <f t="shared" si="331"/>
        <v>2425623.37398722</v>
      </c>
      <c r="O130" s="106">
        <f t="shared" si="332"/>
        <v>13540.2040962428</v>
      </c>
      <c r="P130" s="107">
        <f t="shared" si="333"/>
        <v>16991.6010115341</v>
      </c>
      <c r="Q130" s="107">
        <f t="shared" si="334"/>
        <v>30089.8581776075</v>
      </c>
      <c r="R130" s="107">
        <f t="shared" si="335"/>
        <v>38821.2107523094</v>
      </c>
      <c r="S130" s="107">
        <f t="shared" si="336"/>
        <v>75019.2796078521</v>
      </c>
      <c r="T130" s="106">
        <f t="shared" si="337"/>
        <v>-13540.2040962428</v>
      </c>
      <c r="U130" s="107">
        <f t="shared" si="338"/>
        <v>-16991.6010115341</v>
      </c>
      <c r="V130" s="107">
        <f t="shared" si="339"/>
        <v>-30089.8581776075</v>
      </c>
      <c r="W130" s="107">
        <f t="shared" si="340"/>
        <v>-38821.2107523094</v>
      </c>
      <c r="X130" s="122">
        <f t="shared" si="298"/>
        <v>-75019.2796078521</v>
      </c>
      <c r="Y130" s="181"/>
      <c r="Z130" s="181"/>
      <c r="AA130" s="166"/>
    </row>
    <row r="131" spans="1:27">
      <c r="A131" s="54">
        <v>104</v>
      </c>
      <c r="B131" s="187"/>
      <c r="C131" s="188"/>
      <c r="D131" s="57"/>
      <c r="E131" s="189"/>
      <c r="F131" s="190"/>
      <c r="G131" s="59"/>
      <c r="H131" s="60"/>
      <c r="I131" s="96"/>
      <c r="J131" s="97" t="str">
        <f t="shared" si="327"/>
        <v/>
      </c>
      <c r="K131" s="97" t="str">
        <f t="shared" si="328"/>
        <v/>
      </c>
      <c r="L131" s="97" t="str">
        <f t="shared" si="329"/>
        <v/>
      </c>
      <c r="M131" s="97" t="str">
        <f t="shared" si="330"/>
        <v/>
      </c>
      <c r="N131" s="97" t="str">
        <f t="shared" si="331"/>
        <v/>
      </c>
      <c r="O131" s="98">
        <f t="shared" si="332"/>
        <v>13133.9979733555</v>
      </c>
      <c r="P131" s="99">
        <f t="shared" si="333"/>
        <v>16481.8529811881</v>
      </c>
      <c r="Q131" s="99">
        <f t="shared" si="334"/>
        <v>29187.1624322792</v>
      </c>
      <c r="R131" s="99">
        <f t="shared" si="335"/>
        <v>37656.5744297402</v>
      </c>
      <c r="S131" s="99">
        <f t="shared" si="336"/>
        <v>72768.7012196166</v>
      </c>
      <c r="T131" s="98" t="str">
        <f t="shared" si="337"/>
        <v/>
      </c>
      <c r="U131" s="99" t="str">
        <f t="shared" si="338"/>
        <v/>
      </c>
      <c r="V131" s="99" t="str">
        <f t="shared" si="339"/>
        <v/>
      </c>
      <c r="W131" s="99" t="str">
        <f t="shared" si="340"/>
        <v/>
      </c>
      <c r="X131" s="120" t="str">
        <f t="shared" si="298"/>
        <v/>
      </c>
      <c r="Y131" s="182"/>
      <c r="Z131" s="182"/>
      <c r="AA131" s="173"/>
    </row>
    <row r="132" spans="1:27">
      <c r="A132" s="54">
        <v>105</v>
      </c>
      <c r="B132" s="187"/>
      <c r="C132" s="188"/>
      <c r="D132" s="57"/>
      <c r="E132" s="58"/>
      <c r="F132" s="59"/>
      <c r="G132" s="59"/>
      <c r="H132" s="59"/>
      <c r="I132" s="209"/>
      <c r="J132" s="97" t="str">
        <f t="shared" si="327"/>
        <v/>
      </c>
      <c r="K132" s="97" t="str">
        <f t="shared" si="328"/>
        <v/>
      </c>
      <c r="L132" s="97" t="str">
        <f t="shared" si="329"/>
        <v/>
      </c>
      <c r="M132" s="97" t="str">
        <f t="shared" si="330"/>
        <v/>
      </c>
      <c r="N132" s="97" t="str">
        <f t="shared" si="331"/>
        <v/>
      </c>
      <c r="O132" s="98" t="str">
        <f t="shared" si="332"/>
        <v/>
      </c>
      <c r="P132" s="99" t="str">
        <f t="shared" si="333"/>
        <v/>
      </c>
      <c r="Q132" s="99" t="str">
        <f t="shared" si="334"/>
        <v/>
      </c>
      <c r="R132" s="99" t="str">
        <f t="shared" si="335"/>
        <v/>
      </c>
      <c r="S132" s="99" t="str">
        <f t="shared" si="336"/>
        <v/>
      </c>
      <c r="T132" s="98" t="str">
        <f t="shared" si="337"/>
        <v/>
      </c>
      <c r="U132" s="99" t="str">
        <f t="shared" si="338"/>
        <v/>
      </c>
      <c r="V132" s="99" t="str">
        <f t="shared" si="339"/>
        <v/>
      </c>
      <c r="W132" s="99" t="str">
        <f t="shared" si="340"/>
        <v/>
      </c>
      <c r="X132" s="120" t="str">
        <f t="shared" si="298"/>
        <v/>
      </c>
      <c r="Y132" s="182"/>
      <c r="Z132" s="182"/>
      <c r="AA132" s="173"/>
    </row>
    <row r="133" spans="1:27">
      <c r="A133" s="54">
        <v>106</v>
      </c>
      <c r="B133" s="187"/>
      <c r="C133" s="188"/>
      <c r="D133" s="57"/>
      <c r="E133" s="189"/>
      <c r="F133" s="59"/>
      <c r="G133" s="59"/>
      <c r="H133" s="59"/>
      <c r="I133" s="209"/>
      <c r="J133" s="97" t="str">
        <f t="shared" si="327"/>
        <v/>
      </c>
      <c r="K133" s="97" t="str">
        <f t="shared" si="328"/>
        <v/>
      </c>
      <c r="L133" s="97" t="str">
        <f t="shared" si="329"/>
        <v/>
      </c>
      <c r="M133" s="97" t="str">
        <f t="shared" si="330"/>
        <v/>
      </c>
      <c r="N133" s="97" t="str">
        <f t="shared" si="331"/>
        <v/>
      </c>
      <c r="O133" s="98" t="str">
        <f t="shared" si="332"/>
        <v/>
      </c>
      <c r="P133" s="99" t="str">
        <f t="shared" si="333"/>
        <v/>
      </c>
      <c r="Q133" s="99" t="str">
        <f t="shared" si="334"/>
        <v/>
      </c>
      <c r="R133" s="99" t="str">
        <f t="shared" si="335"/>
        <v/>
      </c>
      <c r="S133" s="99" t="str">
        <f t="shared" si="336"/>
        <v/>
      </c>
      <c r="T133" s="98" t="str">
        <f t="shared" si="337"/>
        <v/>
      </c>
      <c r="U133" s="99" t="str">
        <f t="shared" si="338"/>
        <v/>
      </c>
      <c r="V133" s="99" t="str">
        <f t="shared" si="339"/>
        <v/>
      </c>
      <c r="W133" s="99" t="str">
        <f t="shared" si="340"/>
        <v/>
      </c>
      <c r="X133" s="120" t="str">
        <f t="shared" si="298"/>
        <v/>
      </c>
      <c r="Y133" s="182"/>
      <c r="Z133" s="182"/>
      <c r="AA133" s="173"/>
    </row>
    <row r="134" spans="1:27">
      <c r="A134" s="54">
        <v>107</v>
      </c>
      <c r="B134" s="187"/>
      <c r="C134" s="188"/>
      <c r="D134" s="57"/>
      <c r="E134" s="189"/>
      <c r="F134" s="190"/>
      <c r="G134" s="59"/>
      <c r="H134" s="60"/>
      <c r="I134" s="96"/>
      <c r="J134" s="97" t="str">
        <f t="shared" si="327"/>
        <v/>
      </c>
      <c r="K134" s="97" t="str">
        <f t="shared" si="328"/>
        <v/>
      </c>
      <c r="L134" s="97" t="str">
        <f t="shared" si="329"/>
        <v/>
      </c>
      <c r="M134" s="97" t="str">
        <f t="shared" si="330"/>
        <v/>
      </c>
      <c r="N134" s="97" t="str">
        <f t="shared" si="331"/>
        <v/>
      </c>
      <c r="O134" s="98" t="str">
        <f t="shared" si="332"/>
        <v/>
      </c>
      <c r="P134" s="99" t="str">
        <f t="shared" si="333"/>
        <v/>
      </c>
      <c r="Q134" s="99" t="str">
        <f t="shared" si="334"/>
        <v/>
      </c>
      <c r="R134" s="99" t="str">
        <f t="shared" si="335"/>
        <v/>
      </c>
      <c r="S134" s="99" t="str">
        <f t="shared" si="336"/>
        <v/>
      </c>
      <c r="T134" s="98" t="str">
        <f t="shared" si="337"/>
        <v/>
      </c>
      <c r="U134" s="99" t="str">
        <f t="shared" si="338"/>
        <v/>
      </c>
      <c r="V134" s="99" t="str">
        <f t="shared" si="339"/>
        <v/>
      </c>
      <c r="W134" s="99" t="str">
        <f t="shared" si="340"/>
        <v/>
      </c>
      <c r="X134" s="120" t="str">
        <f t="shared" si="298"/>
        <v/>
      </c>
      <c r="Y134" s="182"/>
      <c r="Z134" s="182"/>
      <c r="AA134" s="173"/>
    </row>
    <row r="135" spans="1:27">
      <c r="A135" s="54">
        <v>108</v>
      </c>
      <c r="B135" s="55"/>
      <c r="C135" s="191"/>
      <c r="D135" s="57"/>
      <c r="E135" s="58"/>
      <c r="F135" s="59"/>
      <c r="G135" s="59"/>
      <c r="H135" s="59"/>
      <c r="I135" s="209"/>
      <c r="J135" s="97" t="str">
        <f t="shared" si="327"/>
        <v/>
      </c>
      <c r="K135" s="97" t="str">
        <f t="shared" si="328"/>
        <v/>
      </c>
      <c r="L135" s="97" t="str">
        <f t="shared" si="329"/>
        <v/>
      </c>
      <c r="M135" s="97" t="str">
        <f t="shared" si="330"/>
        <v/>
      </c>
      <c r="N135" s="97" t="str">
        <f t="shared" si="331"/>
        <v/>
      </c>
      <c r="O135" s="98" t="str">
        <f t="shared" si="332"/>
        <v/>
      </c>
      <c r="P135" s="99" t="str">
        <f t="shared" si="333"/>
        <v/>
      </c>
      <c r="Q135" s="99" t="str">
        <f t="shared" si="334"/>
        <v/>
      </c>
      <c r="R135" s="99" t="str">
        <f t="shared" si="335"/>
        <v/>
      </c>
      <c r="S135" s="99" t="str">
        <f t="shared" si="336"/>
        <v/>
      </c>
      <c r="T135" s="98" t="str">
        <f t="shared" si="337"/>
        <v/>
      </c>
      <c r="U135" s="99" t="str">
        <f t="shared" si="338"/>
        <v/>
      </c>
      <c r="V135" s="99" t="str">
        <f t="shared" si="339"/>
        <v/>
      </c>
      <c r="W135" s="99" t="str">
        <f t="shared" si="340"/>
        <v/>
      </c>
      <c r="X135" s="120" t="str">
        <f t="shared" si="298"/>
        <v/>
      </c>
      <c r="Y135" s="182"/>
      <c r="Z135" s="182"/>
      <c r="AA135" s="173"/>
    </row>
    <row r="136" spans="1:27">
      <c r="A136" s="54">
        <v>109</v>
      </c>
      <c r="B136" s="55"/>
      <c r="C136" s="191"/>
      <c r="D136" s="57"/>
      <c r="E136" s="58"/>
      <c r="F136" s="59"/>
      <c r="G136" s="59"/>
      <c r="H136" s="59"/>
      <c r="I136" s="209"/>
      <c r="J136" s="97" t="str">
        <f t="shared" si="327"/>
        <v/>
      </c>
      <c r="K136" s="97" t="str">
        <f t="shared" si="328"/>
        <v/>
      </c>
      <c r="L136" s="97" t="str">
        <f t="shared" si="329"/>
        <v/>
      </c>
      <c r="M136" s="97" t="str">
        <f t="shared" si="330"/>
        <v/>
      </c>
      <c r="N136" s="97" t="str">
        <f t="shared" si="331"/>
        <v/>
      </c>
      <c r="O136" s="98" t="str">
        <f t="shared" si="332"/>
        <v/>
      </c>
      <c r="P136" s="99" t="str">
        <f t="shared" si="333"/>
        <v/>
      </c>
      <c r="Q136" s="99" t="str">
        <f t="shared" si="334"/>
        <v/>
      </c>
      <c r="R136" s="99" t="str">
        <f t="shared" si="335"/>
        <v/>
      </c>
      <c r="S136" s="99" t="str">
        <f t="shared" si="336"/>
        <v/>
      </c>
      <c r="T136" s="98" t="str">
        <f t="shared" si="337"/>
        <v/>
      </c>
      <c r="U136" s="99" t="str">
        <f t="shared" si="338"/>
        <v/>
      </c>
      <c r="V136" s="99" t="str">
        <f t="shared" si="339"/>
        <v/>
      </c>
      <c r="W136" s="99" t="str">
        <f t="shared" si="340"/>
        <v/>
      </c>
      <c r="X136" s="120" t="str">
        <f t="shared" si="298"/>
        <v/>
      </c>
      <c r="Y136" s="182"/>
      <c r="Z136" s="182"/>
      <c r="AA136" s="173"/>
    </row>
    <row r="137" spans="1:27">
      <c r="A137" s="54">
        <v>110</v>
      </c>
      <c r="B137" s="55"/>
      <c r="C137" s="191"/>
      <c r="D137" s="57"/>
      <c r="E137" s="58"/>
      <c r="F137" s="59"/>
      <c r="G137" s="59"/>
      <c r="H137" s="59"/>
      <c r="I137" s="209"/>
      <c r="J137" s="97" t="str">
        <f t="shared" si="327"/>
        <v/>
      </c>
      <c r="K137" s="97" t="str">
        <f t="shared" si="328"/>
        <v/>
      </c>
      <c r="L137" s="97" t="str">
        <f t="shared" si="329"/>
        <v/>
      </c>
      <c r="M137" s="97" t="str">
        <f t="shared" si="330"/>
        <v/>
      </c>
      <c r="N137" s="97" t="str">
        <f t="shared" si="331"/>
        <v/>
      </c>
      <c r="O137" s="98" t="str">
        <f t="shared" si="332"/>
        <v/>
      </c>
      <c r="P137" s="99" t="str">
        <f t="shared" si="333"/>
        <v/>
      </c>
      <c r="Q137" s="99" t="str">
        <f t="shared" si="334"/>
        <v/>
      </c>
      <c r="R137" s="99" t="str">
        <f t="shared" si="335"/>
        <v/>
      </c>
      <c r="S137" s="99" t="str">
        <f t="shared" si="336"/>
        <v/>
      </c>
      <c r="T137" s="98" t="str">
        <f t="shared" si="337"/>
        <v/>
      </c>
      <c r="U137" s="99" t="str">
        <f t="shared" si="338"/>
        <v/>
      </c>
      <c r="V137" s="99" t="str">
        <f t="shared" si="339"/>
        <v/>
      </c>
      <c r="W137" s="99" t="str">
        <f t="shared" si="340"/>
        <v/>
      </c>
      <c r="X137" s="120" t="str">
        <f t="shared" si="298"/>
        <v/>
      </c>
      <c r="Y137" s="182"/>
      <c r="Z137" s="182"/>
      <c r="AA137" s="173"/>
    </row>
    <row r="138" spans="1:27">
      <c r="A138" s="54">
        <v>111</v>
      </c>
      <c r="B138" s="55"/>
      <c r="C138" s="191"/>
      <c r="D138" s="57"/>
      <c r="E138" s="58"/>
      <c r="F138" s="59"/>
      <c r="G138" s="59"/>
      <c r="H138" s="59"/>
      <c r="I138" s="209"/>
      <c r="J138" s="97" t="str">
        <f t="shared" si="327"/>
        <v/>
      </c>
      <c r="K138" s="97" t="str">
        <f t="shared" si="328"/>
        <v/>
      </c>
      <c r="L138" s="97" t="str">
        <f t="shared" si="329"/>
        <v/>
      </c>
      <c r="M138" s="97" t="str">
        <f t="shared" si="330"/>
        <v/>
      </c>
      <c r="N138" s="97" t="str">
        <f t="shared" si="331"/>
        <v/>
      </c>
      <c r="O138" s="98" t="str">
        <f t="shared" si="332"/>
        <v/>
      </c>
      <c r="P138" s="99" t="str">
        <f t="shared" si="333"/>
        <v/>
      </c>
      <c r="Q138" s="99" t="str">
        <f t="shared" si="334"/>
        <v/>
      </c>
      <c r="R138" s="99" t="str">
        <f t="shared" si="335"/>
        <v/>
      </c>
      <c r="S138" s="99" t="str">
        <f t="shared" si="336"/>
        <v/>
      </c>
      <c r="T138" s="98" t="str">
        <f t="shared" si="337"/>
        <v/>
      </c>
      <c r="U138" s="99" t="str">
        <f t="shared" si="338"/>
        <v/>
      </c>
      <c r="V138" s="99" t="str">
        <f t="shared" si="339"/>
        <v/>
      </c>
      <c r="W138" s="99" t="str">
        <f t="shared" si="340"/>
        <v/>
      </c>
      <c r="X138" s="120" t="str">
        <f t="shared" si="298"/>
        <v/>
      </c>
      <c r="Y138" s="182"/>
      <c r="Z138" s="182"/>
      <c r="AA138" s="173"/>
    </row>
    <row r="139" spans="1:27">
      <c r="A139" s="54">
        <v>112</v>
      </c>
      <c r="B139" s="55"/>
      <c r="C139" s="191"/>
      <c r="D139" s="57"/>
      <c r="E139" s="58"/>
      <c r="F139" s="59"/>
      <c r="G139" s="59"/>
      <c r="H139" s="59"/>
      <c r="I139" s="209"/>
      <c r="J139" s="97" t="str">
        <f t="shared" si="327"/>
        <v/>
      </c>
      <c r="K139" s="97" t="str">
        <f t="shared" si="328"/>
        <v/>
      </c>
      <c r="L139" s="97" t="str">
        <f t="shared" si="329"/>
        <v/>
      </c>
      <c r="M139" s="97" t="str">
        <f t="shared" si="330"/>
        <v/>
      </c>
      <c r="N139" s="97" t="str">
        <f t="shared" si="331"/>
        <v/>
      </c>
      <c r="O139" s="98" t="str">
        <f t="shared" si="332"/>
        <v/>
      </c>
      <c r="P139" s="99" t="str">
        <f t="shared" si="333"/>
        <v/>
      </c>
      <c r="Q139" s="99" t="str">
        <f t="shared" si="334"/>
        <v/>
      </c>
      <c r="R139" s="99" t="str">
        <f t="shared" si="335"/>
        <v/>
      </c>
      <c r="S139" s="99" t="str">
        <f t="shared" si="336"/>
        <v/>
      </c>
      <c r="T139" s="98" t="str">
        <f t="shared" si="337"/>
        <v/>
      </c>
      <c r="U139" s="99" t="str">
        <f t="shared" si="338"/>
        <v/>
      </c>
      <c r="V139" s="99" t="str">
        <f t="shared" si="339"/>
        <v/>
      </c>
      <c r="W139" s="99" t="str">
        <f t="shared" si="340"/>
        <v/>
      </c>
      <c r="X139" s="120" t="str">
        <f t="shared" si="298"/>
        <v/>
      </c>
      <c r="Y139" s="182"/>
      <c r="Z139" s="182"/>
      <c r="AA139" s="173"/>
    </row>
    <row r="140" spans="1:27">
      <c r="A140" s="54">
        <v>113</v>
      </c>
      <c r="B140" s="55"/>
      <c r="C140" s="191"/>
      <c r="D140" s="57"/>
      <c r="E140" s="58"/>
      <c r="F140" s="59"/>
      <c r="G140" s="59"/>
      <c r="H140" s="59"/>
      <c r="I140" s="209"/>
      <c r="J140" s="97" t="str">
        <f t="shared" si="327"/>
        <v/>
      </c>
      <c r="K140" s="97" t="str">
        <f t="shared" si="328"/>
        <v/>
      </c>
      <c r="L140" s="97" t="str">
        <f t="shared" si="329"/>
        <v/>
      </c>
      <c r="M140" s="97" t="str">
        <f t="shared" si="330"/>
        <v/>
      </c>
      <c r="N140" s="97" t="str">
        <f t="shared" si="331"/>
        <v/>
      </c>
      <c r="O140" s="98" t="str">
        <f t="shared" si="332"/>
        <v/>
      </c>
      <c r="P140" s="99" t="str">
        <f t="shared" si="333"/>
        <v/>
      </c>
      <c r="Q140" s="99" t="str">
        <f t="shared" si="334"/>
        <v/>
      </c>
      <c r="R140" s="99" t="str">
        <f t="shared" si="335"/>
        <v/>
      </c>
      <c r="S140" s="99" t="str">
        <f t="shared" si="336"/>
        <v/>
      </c>
      <c r="T140" s="98" t="str">
        <f t="shared" si="337"/>
        <v/>
      </c>
      <c r="U140" s="99" t="str">
        <f t="shared" si="338"/>
        <v/>
      </c>
      <c r="V140" s="99" t="str">
        <f t="shared" si="339"/>
        <v/>
      </c>
      <c r="W140" s="99" t="str">
        <f t="shared" si="340"/>
        <v/>
      </c>
      <c r="X140" s="120" t="str">
        <f t="shared" si="298"/>
        <v/>
      </c>
      <c r="Y140" s="182"/>
      <c r="Z140" s="182"/>
      <c r="AA140" s="173"/>
    </row>
    <row r="141" spans="1:27">
      <c r="A141" s="54">
        <v>114</v>
      </c>
      <c r="B141" s="55"/>
      <c r="C141" s="191"/>
      <c r="D141" s="57"/>
      <c r="E141" s="58"/>
      <c r="F141" s="59"/>
      <c r="G141" s="59"/>
      <c r="H141" s="59"/>
      <c r="I141" s="209"/>
      <c r="J141" s="97" t="str">
        <f t="shared" si="327"/>
        <v/>
      </c>
      <c r="K141" s="97" t="str">
        <f t="shared" si="328"/>
        <v/>
      </c>
      <c r="L141" s="97" t="str">
        <f t="shared" si="329"/>
        <v/>
      </c>
      <c r="M141" s="97" t="str">
        <f t="shared" si="330"/>
        <v/>
      </c>
      <c r="N141" s="97" t="str">
        <f t="shared" si="331"/>
        <v/>
      </c>
      <c r="O141" s="98" t="str">
        <f t="shared" si="332"/>
        <v/>
      </c>
      <c r="P141" s="99" t="str">
        <f t="shared" si="333"/>
        <v/>
      </c>
      <c r="Q141" s="99" t="str">
        <f t="shared" si="334"/>
        <v/>
      </c>
      <c r="R141" s="99" t="str">
        <f t="shared" si="335"/>
        <v/>
      </c>
      <c r="S141" s="99" t="str">
        <f t="shared" si="336"/>
        <v/>
      </c>
      <c r="T141" s="98" t="str">
        <f t="shared" si="337"/>
        <v/>
      </c>
      <c r="U141" s="99" t="str">
        <f t="shared" si="338"/>
        <v/>
      </c>
      <c r="V141" s="99" t="str">
        <f t="shared" si="339"/>
        <v/>
      </c>
      <c r="W141" s="99" t="str">
        <f t="shared" si="340"/>
        <v/>
      </c>
      <c r="X141" s="120" t="str">
        <f t="shared" si="298"/>
        <v/>
      </c>
      <c r="Y141" s="182"/>
      <c r="Z141" s="182"/>
      <c r="AA141" s="173"/>
    </row>
    <row r="142" spans="1:27">
      <c r="A142" s="54">
        <v>115</v>
      </c>
      <c r="B142" s="55"/>
      <c r="C142" s="191"/>
      <c r="D142" s="57"/>
      <c r="E142" s="58"/>
      <c r="F142" s="59"/>
      <c r="G142" s="59"/>
      <c r="H142" s="59"/>
      <c r="I142" s="209"/>
      <c r="J142" s="97" t="str">
        <f t="shared" si="327"/>
        <v/>
      </c>
      <c r="K142" s="97" t="str">
        <f t="shared" si="328"/>
        <v/>
      </c>
      <c r="L142" s="97" t="str">
        <f t="shared" si="329"/>
        <v/>
      </c>
      <c r="M142" s="97" t="str">
        <f t="shared" si="330"/>
        <v/>
      </c>
      <c r="N142" s="97" t="str">
        <f t="shared" si="331"/>
        <v/>
      </c>
      <c r="O142" s="98" t="str">
        <f t="shared" si="332"/>
        <v/>
      </c>
      <c r="P142" s="99" t="str">
        <f t="shared" si="333"/>
        <v/>
      </c>
      <c r="Q142" s="99" t="str">
        <f t="shared" si="334"/>
        <v/>
      </c>
      <c r="R142" s="99" t="str">
        <f t="shared" si="335"/>
        <v/>
      </c>
      <c r="S142" s="99" t="str">
        <f t="shared" si="336"/>
        <v/>
      </c>
      <c r="T142" s="98" t="str">
        <f t="shared" si="337"/>
        <v/>
      </c>
      <c r="U142" s="99" t="str">
        <f t="shared" si="338"/>
        <v/>
      </c>
      <c r="V142" s="99" t="str">
        <f t="shared" si="339"/>
        <v/>
      </c>
      <c r="W142" s="99" t="str">
        <f t="shared" si="340"/>
        <v/>
      </c>
      <c r="X142" s="120" t="str">
        <f t="shared" si="298"/>
        <v/>
      </c>
      <c r="Y142" s="182"/>
      <c r="Z142" s="182"/>
      <c r="AA142" s="173"/>
    </row>
    <row r="143" spans="1:27">
      <c r="A143" s="54">
        <v>116</v>
      </c>
      <c r="B143" s="55"/>
      <c r="C143" s="191"/>
      <c r="D143" s="57"/>
      <c r="E143" s="58"/>
      <c r="F143" s="59"/>
      <c r="G143" s="59"/>
      <c r="H143" s="59"/>
      <c r="I143" s="209"/>
      <c r="J143" s="97" t="str">
        <f t="shared" si="327"/>
        <v/>
      </c>
      <c r="K143" s="97" t="str">
        <f t="shared" si="328"/>
        <v/>
      </c>
      <c r="L143" s="97" t="str">
        <f t="shared" si="329"/>
        <v/>
      </c>
      <c r="M143" s="97" t="str">
        <f t="shared" si="330"/>
        <v/>
      </c>
      <c r="N143" s="97" t="str">
        <f t="shared" si="331"/>
        <v/>
      </c>
      <c r="O143" s="98" t="str">
        <f t="shared" si="332"/>
        <v/>
      </c>
      <c r="P143" s="99" t="str">
        <f t="shared" si="333"/>
        <v/>
      </c>
      <c r="Q143" s="99" t="str">
        <f t="shared" si="334"/>
        <v/>
      </c>
      <c r="R143" s="99" t="str">
        <f t="shared" si="335"/>
        <v/>
      </c>
      <c r="S143" s="99" t="str">
        <f t="shared" si="336"/>
        <v/>
      </c>
      <c r="T143" s="98" t="str">
        <f t="shared" si="337"/>
        <v/>
      </c>
      <c r="U143" s="99" t="str">
        <f t="shared" si="338"/>
        <v/>
      </c>
      <c r="V143" s="99" t="str">
        <f t="shared" si="339"/>
        <v/>
      </c>
      <c r="W143" s="99" t="str">
        <f t="shared" si="340"/>
        <v/>
      </c>
      <c r="X143" s="120" t="str">
        <f t="shared" si="298"/>
        <v/>
      </c>
      <c r="Y143" s="182"/>
      <c r="Z143" s="182"/>
      <c r="AA143" s="173"/>
    </row>
    <row r="144" spans="1:27">
      <c r="A144" s="54">
        <v>117</v>
      </c>
      <c r="B144" s="55"/>
      <c r="C144" s="191"/>
      <c r="D144" s="57"/>
      <c r="E144" s="58"/>
      <c r="F144" s="59"/>
      <c r="G144" s="59"/>
      <c r="H144" s="59"/>
      <c r="I144" s="209"/>
      <c r="J144" s="97" t="str">
        <f t="shared" si="327"/>
        <v/>
      </c>
      <c r="K144" s="97" t="str">
        <f t="shared" si="328"/>
        <v/>
      </c>
      <c r="L144" s="97" t="str">
        <f t="shared" si="329"/>
        <v/>
      </c>
      <c r="M144" s="97" t="str">
        <f t="shared" si="330"/>
        <v/>
      </c>
      <c r="N144" s="97" t="str">
        <f t="shared" si="331"/>
        <v/>
      </c>
      <c r="O144" s="98" t="str">
        <f t="shared" si="332"/>
        <v/>
      </c>
      <c r="P144" s="99" t="str">
        <f t="shared" si="333"/>
        <v/>
      </c>
      <c r="Q144" s="99" t="str">
        <f t="shared" si="334"/>
        <v/>
      </c>
      <c r="R144" s="99" t="str">
        <f t="shared" si="335"/>
        <v/>
      </c>
      <c r="S144" s="99" t="str">
        <f t="shared" si="336"/>
        <v/>
      </c>
      <c r="T144" s="98" t="str">
        <f t="shared" si="337"/>
        <v/>
      </c>
      <c r="U144" s="99" t="str">
        <f t="shared" si="338"/>
        <v/>
      </c>
      <c r="V144" s="99" t="str">
        <f t="shared" si="339"/>
        <v/>
      </c>
      <c r="W144" s="99" t="str">
        <f t="shared" si="340"/>
        <v/>
      </c>
      <c r="X144" s="120" t="str">
        <f t="shared" si="298"/>
        <v/>
      </c>
      <c r="Y144" s="182"/>
      <c r="Z144" s="182"/>
      <c r="AA144" s="173"/>
    </row>
    <row r="145" spans="1:27">
      <c r="A145" s="54">
        <v>118</v>
      </c>
      <c r="B145" s="55"/>
      <c r="C145" s="191"/>
      <c r="D145" s="57"/>
      <c r="E145" s="58"/>
      <c r="F145" s="59"/>
      <c r="G145" s="59"/>
      <c r="H145" s="59"/>
      <c r="I145" s="209"/>
      <c r="J145" s="97" t="str">
        <f t="shared" si="327"/>
        <v/>
      </c>
      <c r="K145" s="97" t="str">
        <f t="shared" si="328"/>
        <v/>
      </c>
      <c r="L145" s="97" t="str">
        <f t="shared" si="329"/>
        <v/>
      </c>
      <c r="M145" s="97" t="str">
        <f t="shared" si="330"/>
        <v/>
      </c>
      <c r="N145" s="97" t="str">
        <f t="shared" si="331"/>
        <v/>
      </c>
      <c r="O145" s="98" t="str">
        <f t="shared" si="332"/>
        <v/>
      </c>
      <c r="P145" s="99" t="str">
        <f t="shared" si="333"/>
        <v/>
      </c>
      <c r="Q145" s="99" t="str">
        <f t="shared" si="334"/>
        <v/>
      </c>
      <c r="R145" s="99" t="str">
        <f t="shared" si="335"/>
        <v/>
      </c>
      <c r="S145" s="99" t="str">
        <f t="shared" si="336"/>
        <v/>
      </c>
      <c r="T145" s="98" t="str">
        <f t="shared" si="337"/>
        <v/>
      </c>
      <c r="U145" s="99" t="str">
        <f t="shared" si="338"/>
        <v/>
      </c>
      <c r="V145" s="99" t="str">
        <f t="shared" si="339"/>
        <v/>
      </c>
      <c r="W145" s="99" t="str">
        <f t="shared" si="340"/>
        <v/>
      </c>
      <c r="X145" s="120" t="str">
        <f t="shared" si="298"/>
        <v/>
      </c>
      <c r="Y145" s="182"/>
      <c r="Z145" s="182"/>
      <c r="AA145" s="173"/>
    </row>
    <row r="146" spans="1:27">
      <c r="A146" s="54">
        <v>119</v>
      </c>
      <c r="B146" s="55"/>
      <c r="C146" s="191"/>
      <c r="D146" s="57"/>
      <c r="E146" s="58"/>
      <c r="F146" s="59"/>
      <c r="G146" s="59"/>
      <c r="H146" s="59"/>
      <c r="I146" s="209"/>
      <c r="J146" s="97" t="str">
        <f t="shared" si="327"/>
        <v/>
      </c>
      <c r="K146" s="97" t="str">
        <f t="shared" si="328"/>
        <v/>
      </c>
      <c r="L146" s="97" t="str">
        <f t="shared" si="329"/>
        <v/>
      </c>
      <c r="M146" s="97" t="str">
        <f t="shared" si="330"/>
        <v/>
      </c>
      <c r="N146" s="97" t="str">
        <f t="shared" si="331"/>
        <v/>
      </c>
      <c r="O146" s="98" t="str">
        <f t="shared" si="332"/>
        <v/>
      </c>
      <c r="P146" s="99" t="str">
        <f t="shared" si="333"/>
        <v/>
      </c>
      <c r="Q146" s="99" t="str">
        <f t="shared" si="334"/>
        <v/>
      </c>
      <c r="R146" s="99" t="str">
        <f t="shared" si="335"/>
        <v/>
      </c>
      <c r="S146" s="99" t="str">
        <f t="shared" si="336"/>
        <v/>
      </c>
      <c r="T146" s="98" t="str">
        <f t="shared" si="337"/>
        <v/>
      </c>
      <c r="U146" s="99" t="str">
        <f t="shared" si="338"/>
        <v/>
      </c>
      <c r="V146" s="99" t="str">
        <f t="shared" si="339"/>
        <v/>
      </c>
      <c r="W146" s="99" t="str">
        <f t="shared" si="340"/>
        <v/>
      </c>
      <c r="X146" s="120" t="str">
        <f t="shared" si="298"/>
        <v/>
      </c>
      <c r="Y146" s="182"/>
      <c r="Z146" s="182"/>
      <c r="AA146" s="173"/>
    </row>
    <row r="147" spans="1:27">
      <c r="A147" s="54">
        <v>120</v>
      </c>
      <c r="B147" s="55"/>
      <c r="C147" s="191"/>
      <c r="D147" s="57"/>
      <c r="E147" s="58"/>
      <c r="F147" s="59"/>
      <c r="G147" s="59"/>
      <c r="H147" s="59"/>
      <c r="I147" s="209"/>
      <c r="J147" s="97" t="str">
        <f t="shared" si="327"/>
        <v/>
      </c>
      <c r="K147" s="97" t="str">
        <f t="shared" si="328"/>
        <v/>
      </c>
      <c r="L147" s="97" t="str">
        <f t="shared" si="329"/>
        <v/>
      </c>
      <c r="M147" s="97" t="str">
        <f t="shared" si="330"/>
        <v/>
      </c>
      <c r="N147" s="97" t="str">
        <f t="shared" si="331"/>
        <v/>
      </c>
      <c r="O147" s="98" t="str">
        <f t="shared" si="332"/>
        <v/>
      </c>
      <c r="P147" s="99" t="str">
        <f t="shared" si="333"/>
        <v/>
      </c>
      <c r="Q147" s="99" t="str">
        <f t="shared" si="334"/>
        <v/>
      </c>
      <c r="R147" s="99" t="str">
        <f t="shared" si="335"/>
        <v/>
      </c>
      <c r="S147" s="99" t="str">
        <f t="shared" si="336"/>
        <v/>
      </c>
      <c r="T147" s="98" t="str">
        <f t="shared" si="337"/>
        <v/>
      </c>
      <c r="U147" s="99" t="str">
        <f t="shared" si="338"/>
        <v/>
      </c>
      <c r="V147" s="99" t="str">
        <f t="shared" si="339"/>
        <v/>
      </c>
      <c r="W147" s="99" t="str">
        <f t="shared" si="340"/>
        <v/>
      </c>
      <c r="X147" s="120" t="str">
        <f t="shared" si="298"/>
        <v/>
      </c>
      <c r="Y147" s="182"/>
      <c r="Z147" s="182"/>
      <c r="AA147" s="173"/>
    </row>
    <row r="148" spans="1:27">
      <c r="A148" s="54">
        <v>121</v>
      </c>
      <c r="B148" s="55"/>
      <c r="C148" s="191"/>
      <c r="D148" s="57"/>
      <c r="E148" s="58"/>
      <c r="F148" s="59"/>
      <c r="G148" s="59"/>
      <c r="H148" s="59"/>
      <c r="I148" s="209"/>
      <c r="J148" s="97" t="str">
        <f t="shared" si="327"/>
        <v/>
      </c>
      <c r="K148" s="97" t="str">
        <f t="shared" si="328"/>
        <v/>
      </c>
      <c r="L148" s="97" t="str">
        <f t="shared" si="329"/>
        <v/>
      </c>
      <c r="M148" s="97" t="str">
        <f t="shared" si="330"/>
        <v/>
      </c>
      <c r="N148" s="97" t="str">
        <f t="shared" si="331"/>
        <v/>
      </c>
      <c r="O148" s="98" t="str">
        <f t="shared" si="332"/>
        <v/>
      </c>
      <c r="P148" s="99" t="str">
        <f t="shared" si="333"/>
        <v/>
      </c>
      <c r="Q148" s="99" t="str">
        <f t="shared" si="334"/>
        <v/>
      </c>
      <c r="R148" s="99" t="str">
        <f t="shared" si="335"/>
        <v/>
      </c>
      <c r="S148" s="99" t="str">
        <f t="shared" si="336"/>
        <v/>
      </c>
      <c r="T148" s="98" t="str">
        <f t="shared" si="337"/>
        <v/>
      </c>
      <c r="U148" s="99" t="str">
        <f t="shared" si="338"/>
        <v/>
      </c>
      <c r="V148" s="99" t="str">
        <f t="shared" si="339"/>
        <v/>
      </c>
      <c r="W148" s="99" t="str">
        <f t="shared" si="340"/>
        <v/>
      </c>
      <c r="X148" s="120" t="str">
        <f t="shared" si="298"/>
        <v/>
      </c>
      <c r="Y148" s="182"/>
      <c r="Z148" s="182"/>
      <c r="AA148" s="173"/>
    </row>
    <row r="149" spans="1:27">
      <c r="A149" s="54">
        <v>122</v>
      </c>
      <c r="B149" s="55"/>
      <c r="C149" s="191"/>
      <c r="D149" s="57"/>
      <c r="E149" s="58"/>
      <c r="F149" s="59"/>
      <c r="G149" s="59"/>
      <c r="H149" s="59"/>
      <c r="I149" s="209"/>
      <c r="J149" s="97" t="str">
        <f t="shared" si="327"/>
        <v/>
      </c>
      <c r="K149" s="97" t="str">
        <f t="shared" si="328"/>
        <v/>
      </c>
      <c r="L149" s="97" t="str">
        <f t="shared" si="329"/>
        <v/>
      </c>
      <c r="M149" s="97" t="str">
        <f t="shared" si="330"/>
        <v/>
      </c>
      <c r="N149" s="97" t="str">
        <f t="shared" si="331"/>
        <v/>
      </c>
      <c r="O149" s="98" t="str">
        <f t="shared" si="332"/>
        <v/>
      </c>
      <c r="P149" s="99" t="str">
        <f t="shared" si="333"/>
        <v/>
      </c>
      <c r="Q149" s="99" t="str">
        <f t="shared" si="334"/>
        <v/>
      </c>
      <c r="R149" s="99" t="str">
        <f t="shared" si="335"/>
        <v/>
      </c>
      <c r="S149" s="99" t="str">
        <f t="shared" si="336"/>
        <v/>
      </c>
      <c r="T149" s="98" t="str">
        <f t="shared" si="337"/>
        <v/>
      </c>
      <c r="U149" s="99" t="str">
        <f t="shared" si="338"/>
        <v/>
      </c>
      <c r="V149" s="99" t="str">
        <f t="shared" si="339"/>
        <v/>
      </c>
      <c r="W149" s="99" t="str">
        <f t="shared" si="340"/>
        <v/>
      </c>
      <c r="X149" s="120" t="str">
        <f t="shared" si="298"/>
        <v/>
      </c>
      <c r="Y149" s="182"/>
      <c r="Z149" s="182"/>
      <c r="AA149" s="173"/>
    </row>
    <row r="150" ht="19.5" spans="1:27">
      <c r="A150" s="54">
        <v>123</v>
      </c>
      <c r="B150" s="192"/>
      <c r="C150" s="193"/>
      <c r="D150" s="194"/>
      <c r="E150" s="195"/>
      <c r="F150" s="196"/>
      <c r="G150" s="196"/>
      <c r="H150" s="196"/>
      <c r="I150" s="210"/>
      <c r="J150" s="97" t="str">
        <f t="shared" ref="J150:N150" si="354">IF(E150="","",J85+T150)</f>
        <v/>
      </c>
      <c r="K150" s="97" t="str">
        <f t="shared" si="354"/>
        <v/>
      </c>
      <c r="L150" s="97" t="str">
        <f t="shared" si="354"/>
        <v/>
      </c>
      <c r="M150" s="97" t="str">
        <f t="shared" si="354"/>
        <v/>
      </c>
      <c r="N150" s="97" t="str">
        <f t="shared" si="354"/>
        <v/>
      </c>
      <c r="O150" s="98">
        <f t="shared" ref="O150:S150" si="355">IF(J85="","",J85*0.03)</f>
        <v>7790.96114645386</v>
      </c>
      <c r="P150" s="99">
        <f t="shared" si="355"/>
        <v>8807.70989852694</v>
      </c>
      <c r="Q150" s="99">
        <f t="shared" si="355"/>
        <v>12858.4362971815</v>
      </c>
      <c r="R150" s="99">
        <f t="shared" si="355"/>
        <v>18684.8602683613</v>
      </c>
      <c r="S150" s="99">
        <f t="shared" si="355"/>
        <v>56504.8076944431</v>
      </c>
      <c r="T150" s="98" t="str">
        <f t="shared" si="337"/>
        <v/>
      </c>
      <c r="U150" s="99" t="str">
        <f t="shared" si="338"/>
        <v/>
      </c>
      <c r="V150" s="99" t="str">
        <f t="shared" si="339"/>
        <v/>
      </c>
      <c r="W150" s="99" t="str">
        <f t="shared" si="340"/>
        <v/>
      </c>
      <c r="X150" s="120" t="str">
        <f t="shared" si="298"/>
        <v/>
      </c>
      <c r="Y150" s="234"/>
      <c r="Z150" s="234"/>
      <c r="AA150" s="235"/>
    </row>
    <row r="151" ht="19.5" spans="1:24">
      <c r="A151" s="54"/>
      <c r="B151" s="197" t="s">
        <v>76</v>
      </c>
      <c r="C151" s="37"/>
      <c r="D151" s="37"/>
      <c r="E151" s="198">
        <f>COUNTIF(E20:E150,1.27)</f>
        <v>68</v>
      </c>
      <c r="F151" s="199">
        <f>COUNTIF(F20:F150,1.5)</f>
        <v>65</v>
      </c>
      <c r="G151" s="199">
        <f>COUNTIF(G20:G150,2)</f>
        <v>61</v>
      </c>
      <c r="H151" s="199">
        <f>COUNTIF(C20:C150,1)-H152-H153</f>
        <v>39</v>
      </c>
      <c r="I151" s="211">
        <f>COUNTIF(C20:C150,1)-I152-I153</f>
        <v>29</v>
      </c>
      <c r="J151" s="212">
        <f t="shared" ref="J151:N151" si="356">T151+J19</f>
        <v>437799.932445185</v>
      </c>
      <c r="K151" s="213">
        <f t="shared" si="356"/>
        <v>549395.099372936</v>
      </c>
      <c r="L151" s="213">
        <f t="shared" si="356"/>
        <v>972905.414409308</v>
      </c>
      <c r="M151" s="213">
        <f t="shared" si="356"/>
        <v>1255219.14765801</v>
      </c>
      <c r="N151" s="214">
        <f t="shared" si="356"/>
        <v>2425623.37398722</v>
      </c>
      <c r="O151" s="215" t="s">
        <v>77</v>
      </c>
      <c r="P151" s="216">
        <f>B130-B20</f>
        <v>172</v>
      </c>
      <c r="Q151" s="226"/>
      <c r="R151" s="227" t="s">
        <v>78</v>
      </c>
      <c r="S151" s="227"/>
      <c r="T151" s="228">
        <f t="shared" ref="T151:X151" si="357">SUM(T20:T150)</f>
        <v>337799.932445185</v>
      </c>
      <c r="U151" s="229">
        <f t="shared" si="357"/>
        <v>449395.099372936</v>
      </c>
      <c r="V151" s="229">
        <f t="shared" si="357"/>
        <v>872905.414409308</v>
      </c>
      <c r="W151" s="229">
        <f t="shared" si="357"/>
        <v>1155219.14765801</v>
      </c>
      <c r="X151" s="230">
        <f t="shared" si="357"/>
        <v>2325623.37398722</v>
      </c>
    </row>
    <row r="152" ht="19.5" spans="1:24">
      <c r="A152" s="54"/>
      <c r="B152" s="200" t="s">
        <v>79</v>
      </c>
      <c r="C152" s="201"/>
      <c r="D152" s="201"/>
      <c r="E152" s="114">
        <f t="shared" ref="E152:I152" si="358">COUNTIF(E20:E150,-1)</f>
        <v>35</v>
      </c>
      <c r="F152" s="115">
        <f t="shared" si="358"/>
        <v>38</v>
      </c>
      <c r="G152" s="115">
        <f t="shared" si="358"/>
        <v>42</v>
      </c>
      <c r="H152" s="115">
        <f t="shared" si="358"/>
        <v>42</v>
      </c>
      <c r="I152" s="217">
        <f t="shared" si="358"/>
        <v>42</v>
      </c>
      <c r="J152" s="85" t="s">
        <v>80</v>
      </c>
      <c r="K152" s="84"/>
      <c r="L152" s="84"/>
      <c r="M152" s="84"/>
      <c r="N152" s="84"/>
      <c r="O152" s="85" t="s">
        <v>81</v>
      </c>
      <c r="P152" s="84"/>
      <c r="Q152" s="84"/>
      <c r="R152" s="84"/>
      <c r="S152" s="201"/>
      <c r="T152" s="54"/>
      <c r="U152" s="81"/>
      <c r="V152" s="81"/>
      <c r="W152" s="81"/>
      <c r="X152" s="182"/>
    </row>
    <row r="153" ht="19.5" spans="1:24">
      <c r="A153" s="54"/>
      <c r="B153" s="200" t="s">
        <v>82</v>
      </c>
      <c r="C153" s="201"/>
      <c r="D153" s="201"/>
      <c r="E153" s="202">
        <f>COUNTIF(E20:E150,0)-COUNTIF(C20:C150,0)</f>
        <v>0</v>
      </c>
      <c r="F153" s="203">
        <f>COUNTIF(F20:F150,0)-COUNTIF(C20:C150,0)</f>
        <v>0</v>
      </c>
      <c r="G153" s="203">
        <f>COUNTIF(G20:G150,0)-COUNTIF(C20:C150,0)</f>
        <v>0</v>
      </c>
      <c r="H153" s="203">
        <f>COUNTIF(H20:H150,0)-COUNTIF(C20:C150,0)</f>
        <v>22</v>
      </c>
      <c r="I153" s="218">
        <f>COUNTIF(I20:I150,0)-COUNTIF(C20:C150,0)</f>
        <v>32</v>
      </c>
      <c r="J153" s="219">
        <f t="shared" ref="J153:N153" si="359">J151/J19</f>
        <v>4.37799932445185</v>
      </c>
      <c r="K153" s="220">
        <f t="shared" si="359"/>
        <v>5.49395099372936</v>
      </c>
      <c r="L153" s="220">
        <f t="shared" si="359"/>
        <v>9.72905414409308</v>
      </c>
      <c r="M153" s="220">
        <f t="shared" si="359"/>
        <v>12.5521914765801</v>
      </c>
      <c r="N153" s="221">
        <f t="shared" si="359"/>
        <v>24.2562337398722</v>
      </c>
      <c r="O153" s="222">
        <f>(J153-100%)*30/P151</f>
        <v>0.589185928683462</v>
      </c>
      <c r="P153" s="222">
        <f>(K153-100%)*30/P151</f>
        <v>0.783828661696982</v>
      </c>
      <c r="Q153" s="222">
        <f>(L153-100%)*30/P151</f>
        <v>1.52250944373716</v>
      </c>
      <c r="R153" s="222">
        <f>(M153-100%)*30/P151</f>
        <v>2.01491711800815</v>
      </c>
      <c r="S153" s="231">
        <f>(N153-100%)*30/P151</f>
        <v>4.0563198383498</v>
      </c>
      <c r="T153" s="232"/>
      <c r="U153" s="233"/>
      <c r="V153" s="233"/>
      <c r="W153" s="233"/>
      <c r="X153" s="234"/>
    </row>
    <row r="154" ht="19.5" spans="1:9">
      <c r="A154" s="81"/>
      <c r="B154" s="85" t="s">
        <v>83</v>
      </c>
      <c r="C154" s="84"/>
      <c r="D154" s="84"/>
      <c r="E154" s="204">
        <f t="shared" ref="E154:I154" si="360">E151/(E151+E152)</f>
        <v>0.660194174757282</v>
      </c>
      <c r="F154" s="205">
        <f t="shared" si="360"/>
        <v>0.631067961165049</v>
      </c>
      <c r="G154" s="205">
        <f t="shared" si="360"/>
        <v>0.592233009708738</v>
      </c>
      <c r="H154" s="205">
        <f t="shared" si="360"/>
        <v>0.481481481481481</v>
      </c>
      <c r="I154" s="205">
        <f t="shared" si="360"/>
        <v>0.408450704225352</v>
      </c>
    </row>
    <row r="155" ht="19.5" spans="2:9">
      <c r="B155" s="85" t="s">
        <v>84</v>
      </c>
      <c r="C155" s="84"/>
      <c r="D155" s="84"/>
      <c r="E155" s="206">
        <f t="shared" ref="E155:I155" si="361">SUM(E20:E150,E152)/E151</f>
        <v>1.27</v>
      </c>
      <c r="F155" s="207">
        <f t="shared" si="361"/>
        <v>1.5</v>
      </c>
      <c r="G155" s="207">
        <f t="shared" si="361"/>
        <v>2</v>
      </c>
      <c r="H155" s="207">
        <f t="shared" si="361"/>
        <v>3.50000338289076</v>
      </c>
      <c r="I155" s="223">
        <f t="shared" si="361"/>
        <v>6.18367333376917</v>
      </c>
    </row>
    <row r="156" spans="5:9">
      <c r="E156" s="208"/>
      <c r="F156" s="208"/>
      <c r="G156" s="208"/>
      <c r="H156" s="208"/>
      <c r="I156" s="224"/>
    </row>
    <row r="157" spans="9:9">
      <c r="I157" s="225"/>
    </row>
  </sheetData>
  <mergeCells count="18">
    <mergeCell ref="E17:G17"/>
    <mergeCell ref="H17:I17"/>
    <mergeCell ref="J17:N17"/>
    <mergeCell ref="O17:S17"/>
    <mergeCell ref="T17:X17"/>
    <mergeCell ref="O19:S19"/>
    <mergeCell ref="T19:X19"/>
    <mergeCell ref="B151:D151"/>
    <mergeCell ref="B152:D152"/>
    <mergeCell ref="J152:N152"/>
    <mergeCell ref="O152:R152"/>
    <mergeCell ref="B153:D153"/>
    <mergeCell ref="B154:D154"/>
    <mergeCell ref="B155:D155"/>
    <mergeCell ref="C17:C18"/>
    <mergeCell ref="Y17:Y19"/>
    <mergeCell ref="Z17:Z19"/>
    <mergeCell ref="AA17:AA19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5"/>
  <sheetViews>
    <sheetView zoomScale="75" zoomScaleNormal="75" workbookViewId="0">
      <selection activeCell="K4" sqref="K4"/>
    </sheetView>
  </sheetViews>
  <sheetFormatPr defaultColWidth="8.125" defaultRowHeight="13.5" outlineLevelCol="3"/>
  <cols>
    <col min="1" max="242" width="8.125" style="12"/>
    <col min="243" max="243" width="6.625" style="12" customWidth="1"/>
    <col min="244" max="244" width="7.25" style="12" customWidth="1"/>
    <col min="245" max="498" width="8.125" style="12"/>
    <col min="499" max="499" width="6.625" style="12" customWidth="1"/>
    <col min="500" max="500" width="7.25" style="12" customWidth="1"/>
    <col min="501" max="754" width="8.125" style="12"/>
    <col min="755" max="755" width="6.625" style="12" customWidth="1"/>
    <col min="756" max="756" width="7.25" style="12" customWidth="1"/>
    <col min="757" max="1010" width="8.125" style="12"/>
    <col min="1011" max="1011" width="6.625" style="12" customWidth="1"/>
    <col min="1012" max="1012" width="7.25" style="12" customWidth="1"/>
    <col min="1013" max="1266" width="8.125" style="12"/>
    <col min="1267" max="1267" width="6.625" style="12" customWidth="1"/>
    <col min="1268" max="1268" width="7.25" style="12" customWidth="1"/>
    <col min="1269" max="1522" width="8.125" style="12"/>
    <col min="1523" max="1523" width="6.625" style="12" customWidth="1"/>
    <col min="1524" max="1524" width="7.25" style="12" customWidth="1"/>
    <col min="1525" max="1778" width="8.125" style="12"/>
    <col min="1779" max="1779" width="6.625" style="12" customWidth="1"/>
    <col min="1780" max="1780" width="7.25" style="12" customWidth="1"/>
    <col min="1781" max="2034" width="8.125" style="12"/>
    <col min="2035" max="2035" width="6.625" style="12" customWidth="1"/>
    <col min="2036" max="2036" width="7.25" style="12" customWidth="1"/>
    <col min="2037" max="2290" width="8.125" style="12"/>
    <col min="2291" max="2291" width="6.625" style="12" customWidth="1"/>
    <col min="2292" max="2292" width="7.25" style="12" customWidth="1"/>
    <col min="2293" max="2546" width="8.125" style="12"/>
    <col min="2547" max="2547" width="6.625" style="12" customWidth="1"/>
    <col min="2548" max="2548" width="7.25" style="12" customWidth="1"/>
    <col min="2549" max="2802" width="8.125" style="12"/>
    <col min="2803" max="2803" width="6.625" style="12" customWidth="1"/>
    <col min="2804" max="2804" width="7.25" style="12" customWidth="1"/>
    <col min="2805" max="3058" width="8.125" style="12"/>
    <col min="3059" max="3059" width="6.625" style="12" customWidth="1"/>
    <col min="3060" max="3060" width="7.25" style="12" customWidth="1"/>
    <col min="3061" max="3314" width="8.125" style="12"/>
    <col min="3315" max="3315" width="6.625" style="12" customWidth="1"/>
    <col min="3316" max="3316" width="7.25" style="12" customWidth="1"/>
    <col min="3317" max="3570" width="8.125" style="12"/>
    <col min="3571" max="3571" width="6.625" style="12" customWidth="1"/>
    <col min="3572" max="3572" width="7.25" style="12" customWidth="1"/>
    <col min="3573" max="3826" width="8.125" style="12"/>
    <col min="3827" max="3827" width="6.625" style="12" customWidth="1"/>
    <col min="3828" max="3828" width="7.25" style="12" customWidth="1"/>
    <col min="3829" max="4082" width="8.125" style="12"/>
    <col min="4083" max="4083" width="6.625" style="12" customWidth="1"/>
    <col min="4084" max="4084" width="7.25" style="12" customWidth="1"/>
    <col min="4085" max="4338" width="8.125" style="12"/>
    <col min="4339" max="4339" width="6.625" style="12" customWidth="1"/>
    <col min="4340" max="4340" width="7.25" style="12" customWidth="1"/>
    <col min="4341" max="4594" width="8.125" style="12"/>
    <col min="4595" max="4595" width="6.625" style="12" customWidth="1"/>
    <col min="4596" max="4596" width="7.25" style="12" customWidth="1"/>
    <col min="4597" max="4850" width="8.125" style="12"/>
    <col min="4851" max="4851" width="6.625" style="12" customWidth="1"/>
    <col min="4852" max="4852" width="7.25" style="12" customWidth="1"/>
    <col min="4853" max="5106" width="8.125" style="12"/>
    <col min="5107" max="5107" width="6.625" style="12" customWidth="1"/>
    <col min="5108" max="5108" width="7.25" style="12" customWidth="1"/>
    <col min="5109" max="5362" width="8.125" style="12"/>
    <col min="5363" max="5363" width="6.625" style="12" customWidth="1"/>
    <col min="5364" max="5364" width="7.25" style="12" customWidth="1"/>
    <col min="5365" max="5618" width="8.125" style="12"/>
    <col min="5619" max="5619" width="6.625" style="12" customWidth="1"/>
    <col min="5620" max="5620" width="7.25" style="12" customWidth="1"/>
    <col min="5621" max="5874" width="8.125" style="12"/>
    <col min="5875" max="5875" width="6.625" style="12" customWidth="1"/>
    <col min="5876" max="5876" width="7.25" style="12" customWidth="1"/>
    <col min="5877" max="6130" width="8.125" style="12"/>
    <col min="6131" max="6131" width="6.625" style="12" customWidth="1"/>
    <col min="6132" max="6132" width="7.25" style="12" customWidth="1"/>
    <col min="6133" max="6386" width="8.125" style="12"/>
    <col min="6387" max="6387" width="6.625" style="12" customWidth="1"/>
    <col min="6388" max="6388" width="7.25" style="12" customWidth="1"/>
    <col min="6389" max="6642" width="8.125" style="12"/>
    <col min="6643" max="6643" width="6.625" style="12" customWidth="1"/>
    <col min="6644" max="6644" width="7.25" style="12" customWidth="1"/>
    <col min="6645" max="6898" width="8.125" style="12"/>
    <col min="6899" max="6899" width="6.625" style="12" customWidth="1"/>
    <col min="6900" max="6900" width="7.25" style="12" customWidth="1"/>
    <col min="6901" max="7154" width="8.125" style="12"/>
    <col min="7155" max="7155" width="6.625" style="12" customWidth="1"/>
    <col min="7156" max="7156" width="7.25" style="12" customWidth="1"/>
    <col min="7157" max="7410" width="8.125" style="12"/>
    <col min="7411" max="7411" width="6.625" style="12" customWidth="1"/>
    <col min="7412" max="7412" width="7.25" style="12" customWidth="1"/>
    <col min="7413" max="7666" width="8.125" style="12"/>
    <col min="7667" max="7667" width="6.625" style="12" customWidth="1"/>
    <col min="7668" max="7668" width="7.25" style="12" customWidth="1"/>
    <col min="7669" max="7922" width="8.125" style="12"/>
    <col min="7923" max="7923" width="6.625" style="12" customWidth="1"/>
    <col min="7924" max="7924" width="7.25" style="12" customWidth="1"/>
    <col min="7925" max="8178" width="8.125" style="12"/>
    <col min="8179" max="8179" width="6.625" style="12" customWidth="1"/>
    <col min="8180" max="8180" width="7.25" style="12" customWidth="1"/>
    <col min="8181" max="8434" width="8.125" style="12"/>
    <col min="8435" max="8435" width="6.625" style="12" customWidth="1"/>
    <col min="8436" max="8436" width="7.25" style="12" customWidth="1"/>
    <col min="8437" max="8690" width="8.125" style="12"/>
    <col min="8691" max="8691" width="6.625" style="12" customWidth="1"/>
    <col min="8692" max="8692" width="7.25" style="12" customWidth="1"/>
    <col min="8693" max="8946" width="8.125" style="12"/>
    <col min="8947" max="8947" width="6.625" style="12" customWidth="1"/>
    <col min="8948" max="8948" width="7.25" style="12" customWidth="1"/>
    <col min="8949" max="9202" width="8.125" style="12"/>
    <col min="9203" max="9203" width="6.625" style="12" customWidth="1"/>
    <col min="9204" max="9204" width="7.25" style="12" customWidth="1"/>
    <col min="9205" max="9458" width="8.125" style="12"/>
    <col min="9459" max="9459" width="6.625" style="12" customWidth="1"/>
    <col min="9460" max="9460" width="7.25" style="12" customWidth="1"/>
    <col min="9461" max="9714" width="8.125" style="12"/>
    <col min="9715" max="9715" width="6.625" style="12" customWidth="1"/>
    <col min="9716" max="9716" width="7.25" style="12" customWidth="1"/>
    <col min="9717" max="9970" width="8.125" style="12"/>
    <col min="9971" max="9971" width="6.625" style="12" customWidth="1"/>
    <col min="9972" max="9972" width="7.25" style="12" customWidth="1"/>
    <col min="9973" max="10226" width="8.125" style="12"/>
    <col min="10227" max="10227" width="6.625" style="12" customWidth="1"/>
    <col min="10228" max="10228" width="7.25" style="12" customWidth="1"/>
    <col min="10229" max="10482" width="8.125" style="12"/>
    <col min="10483" max="10483" width="6.625" style="12" customWidth="1"/>
    <col min="10484" max="10484" width="7.25" style="12" customWidth="1"/>
    <col min="10485" max="10738" width="8.125" style="12"/>
    <col min="10739" max="10739" width="6.625" style="12" customWidth="1"/>
    <col min="10740" max="10740" width="7.25" style="12" customWidth="1"/>
    <col min="10741" max="10994" width="8.125" style="12"/>
    <col min="10995" max="10995" width="6.625" style="12" customWidth="1"/>
    <col min="10996" max="10996" width="7.25" style="12" customWidth="1"/>
    <col min="10997" max="11250" width="8.125" style="12"/>
    <col min="11251" max="11251" width="6.625" style="12" customWidth="1"/>
    <col min="11252" max="11252" width="7.25" style="12" customWidth="1"/>
    <col min="11253" max="11506" width="8.125" style="12"/>
    <col min="11507" max="11507" width="6.625" style="12" customWidth="1"/>
    <col min="11508" max="11508" width="7.25" style="12" customWidth="1"/>
    <col min="11509" max="11762" width="8.125" style="12"/>
    <col min="11763" max="11763" width="6.625" style="12" customWidth="1"/>
    <col min="11764" max="11764" width="7.25" style="12" customWidth="1"/>
    <col min="11765" max="12018" width="8.125" style="12"/>
    <col min="12019" max="12019" width="6.625" style="12" customWidth="1"/>
    <col min="12020" max="12020" width="7.25" style="12" customWidth="1"/>
    <col min="12021" max="12274" width="8.125" style="12"/>
    <col min="12275" max="12275" width="6.625" style="12" customWidth="1"/>
    <col min="12276" max="12276" width="7.25" style="12" customWidth="1"/>
    <col min="12277" max="12530" width="8.125" style="12"/>
    <col min="12531" max="12531" width="6.625" style="12" customWidth="1"/>
    <col min="12532" max="12532" width="7.25" style="12" customWidth="1"/>
    <col min="12533" max="12786" width="8.125" style="12"/>
    <col min="12787" max="12787" width="6.625" style="12" customWidth="1"/>
    <col min="12788" max="12788" width="7.25" style="12" customWidth="1"/>
    <col min="12789" max="13042" width="8.125" style="12"/>
    <col min="13043" max="13043" width="6.625" style="12" customWidth="1"/>
    <col min="13044" max="13044" width="7.25" style="12" customWidth="1"/>
    <col min="13045" max="13298" width="8.125" style="12"/>
    <col min="13299" max="13299" width="6.625" style="12" customWidth="1"/>
    <col min="13300" max="13300" width="7.25" style="12" customWidth="1"/>
    <col min="13301" max="13554" width="8.125" style="12"/>
    <col min="13555" max="13555" width="6.625" style="12" customWidth="1"/>
    <col min="13556" max="13556" width="7.25" style="12" customWidth="1"/>
    <col min="13557" max="13810" width="8.125" style="12"/>
    <col min="13811" max="13811" width="6.625" style="12" customWidth="1"/>
    <col min="13812" max="13812" width="7.25" style="12" customWidth="1"/>
    <col min="13813" max="14066" width="8.125" style="12"/>
    <col min="14067" max="14067" width="6.625" style="12" customWidth="1"/>
    <col min="14068" max="14068" width="7.25" style="12" customWidth="1"/>
    <col min="14069" max="14322" width="8.125" style="12"/>
    <col min="14323" max="14323" width="6.625" style="12" customWidth="1"/>
    <col min="14324" max="14324" width="7.25" style="12" customWidth="1"/>
    <col min="14325" max="14578" width="8.125" style="12"/>
    <col min="14579" max="14579" width="6.625" style="12" customWidth="1"/>
    <col min="14580" max="14580" width="7.25" style="12" customWidth="1"/>
    <col min="14581" max="14834" width="8.125" style="12"/>
    <col min="14835" max="14835" width="6.625" style="12" customWidth="1"/>
    <col min="14836" max="14836" width="7.25" style="12" customWidth="1"/>
    <col min="14837" max="15090" width="8.125" style="12"/>
    <col min="15091" max="15091" width="6.625" style="12" customWidth="1"/>
    <col min="15092" max="15092" width="7.25" style="12" customWidth="1"/>
    <col min="15093" max="15346" width="8.125" style="12"/>
    <col min="15347" max="15347" width="6.625" style="12" customWidth="1"/>
    <col min="15348" max="15348" width="7.25" style="12" customWidth="1"/>
    <col min="15349" max="15602" width="8.125" style="12"/>
    <col min="15603" max="15603" width="6.625" style="12" customWidth="1"/>
    <col min="15604" max="15604" width="7.25" style="12" customWidth="1"/>
    <col min="15605" max="15858" width="8.125" style="12"/>
    <col min="15859" max="15859" width="6.625" style="12" customWidth="1"/>
    <col min="15860" max="15860" width="7.25" style="12" customWidth="1"/>
    <col min="15861" max="16114" width="8.125" style="12"/>
    <col min="16115" max="16115" width="6.625" style="12" customWidth="1"/>
    <col min="16116" max="16116" width="7.25" style="12" customWidth="1"/>
    <col min="16117" max="16384" width="8.125" style="12"/>
  </cols>
  <sheetData>
    <row r="1" ht="24" spans="1:1">
      <c r="A1" s="18" t="s">
        <v>85</v>
      </c>
    </row>
    <row r="2" ht="24" spans="1:1">
      <c r="A2" s="18"/>
    </row>
    <row r="3" ht="24" spans="1:1">
      <c r="A3" s="18"/>
    </row>
    <row r="4" ht="24" spans="1:1">
      <c r="A4" s="18" t="s">
        <v>86</v>
      </c>
    </row>
    <row r="5" ht="24" spans="1:4">
      <c r="A5" s="19" t="s">
        <v>87</v>
      </c>
      <c r="B5" s="20"/>
      <c r="C5" s="20"/>
      <c r="D5" s="20"/>
    </row>
    <row r="6" ht="24" spans="1:4">
      <c r="A6" s="19" t="s">
        <v>88</v>
      </c>
      <c r="B6" s="20"/>
      <c r="C6" s="20"/>
      <c r="D6" s="20"/>
    </row>
    <row r="7" ht="24" spans="1:4">
      <c r="A7" s="19" t="s">
        <v>89</v>
      </c>
      <c r="B7" s="20"/>
      <c r="C7" s="20"/>
      <c r="D7" s="20"/>
    </row>
    <row r="8" ht="24" spans="1:4">
      <c r="A8" s="19" t="s">
        <v>90</v>
      </c>
      <c r="B8" s="20"/>
      <c r="C8" s="20"/>
      <c r="D8" s="20"/>
    </row>
    <row r="9" ht="24" spans="1:4">
      <c r="A9" s="19"/>
      <c r="B9" s="20"/>
      <c r="C9" s="20"/>
      <c r="D9" s="20"/>
    </row>
    <row r="10" ht="24" spans="1:4">
      <c r="A10" s="18" t="s">
        <v>91</v>
      </c>
      <c r="B10" s="20"/>
      <c r="C10" s="20"/>
      <c r="D10" s="20"/>
    </row>
    <row r="11" ht="24" spans="1:4">
      <c r="A11" s="19"/>
      <c r="B11" s="20"/>
      <c r="C11" s="20"/>
      <c r="D11" s="20"/>
    </row>
    <row r="12" ht="24" spans="1:4">
      <c r="A12" s="19"/>
      <c r="B12" s="20"/>
      <c r="C12" s="20"/>
      <c r="D12" s="20"/>
    </row>
    <row r="13" ht="24" spans="1:4">
      <c r="A13" s="19"/>
      <c r="B13" s="20"/>
      <c r="C13" s="20"/>
      <c r="D13" s="20"/>
    </row>
    <row r="14" ht="24" spans="1:4">
      <c r="A14" s="19"/>
      <c r="B14" s="20"/>
      <c r="C14" s="20"/>
      <c r="D14" s="20"/>
    </row>
    <row r="15" ht="24" spans="1:1">
      <c r="A15" s="19"/>
    </row>
  </sheetData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5"/>
  <sheetViews>
    <sheetView workbookViewId="0">
      <selection activeCell="B3" sqref="B3"/>
    </sheetView>
  </sheetViews>
  <sheetFormatPr defaultColWidth="8.125" defaultRowHeight="13.5"/>
  <cols>
    <col min="1" max="1" width="2.875" style="12" customWidth="1"/>
    <col min="2" max="2" width="127.75" style="12" customWidth="1"/>
    <col min="3" max="6" width="8.625" style="12" customWidth="1"/>
    <col min="7" max="10" width="8.125" style="12"/>
    <col min="11" max="11" width="18.8" style="12" customWidth="1"/>
    <col min="12" max="16384" width="8.125" style="12"/>
  </cols>
  <sheetData>
    <row r="1" spans="1:1">
      <c r="A1" s="13" t="s">
        <v>92</v>
      </c>
    </row>
    <row r="2" ht="115" customHeight="1" spans="1:12">
      <c r="A2" s="14"/>
      <c r="B2" s="15" t="s">
        <v>93</v>
      </c>
      <c r="C2" s="16"/>
      <c r="D2" s="16"/>
      <c r="E2" s="16"/>
      <c r="F2" s="16"/>
      <c r="G2" s="17"/>
      <c r="H2" s="17"/>
      <c r="I2" s="17"/>
      <c r="J2" s="17"/>
      <c r="K2" s="17"/>
      <c r="L2" s="17"/>
    </row>
    <row r="3" ht="32" customHeight="1"/>
    <row r="4" spans="1:1">
      <c r="A4" s="13" t="s">
        <v>94</v>
      </c>
    </row>
    <row r="5" ht="32" customHeight="1" spans="2:11">
      <c r="B5" s="17" t="s">
        <v>95</v>
      </c>
      <c r="C5" s="17"/>
      <c r="D5" s="17"/>
      <c r="E5" s="17"/>
      <c r="F5" s="17"/>
      <c r="G5" s="17"/>
      <c r="H5" s="17"/>
      <c r="I5" s="17"/>
      <c r="J5" s="17"/>
      <c r="K5" s="17"/>
    </row>
    <row r="6" s="12" customFormat="1" ht="32" customHeight="1"/>
    <row r="7" spans="1:1">
      <c r="A7" s="13" t="s">
        <v>96</v>
      </c>
    </row>
    <row r="8" ht="50" customHeight="1" spans="2:11">
      <c r="B8" s="17" t="s">
        <v>97</v>
      </c>
      <c r="C8" s="17"/>
      <c r="D8" s="17"/>
      <c r="E8" s="17"/>
      <c r="F8" s="17"/>
      <c r="G8" s="17"/>
      <c r="H8" s="17"/>
      <c r="I8" s="17"/>
      <c r="J8" s="17"/>
      <c r="K8" s="17"/>
    </row>
    <row r="9" spans="2:11"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2:11"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2:11"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2:11">
      <c r="B12" s="17"/>
      <c r="C12" s="17"/>
      <c r="D12" s="17"/>
      <c r="E12" s="17"/>
      <c r="F12" s="17"/>
      <c r="G12" s="17"/>
      <c r="H12" s="17"/>
      <c r="I12" s="17"/>
      <c r="J12" s="17"/>
      <c r="K12" s="17"/>
    </row>
    <row r="13" spans="2:11"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2:11"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2:11">
      <c r="B15" s="17"/>
      <c r="C15" s="17"/>
      <c r="D15" s="17"/>
      <c r="E15" s="17"/>
      <c r="F15" s="17"/>
      <c r="G15" s="17"/>
      <c r="H15" s="17"/>
      <c r="I15" s="17"/>
      <c r="J15" s="17"/>
      <c r="K15" s="17"/>
    </row>
  </sheetData>
  <pageMargins left="0.75" right="0.75" top="1" bottom="1" header="0.510416666666667" footer="0.51041666666666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zoomScale="80" zoomScaleNormal="80" workbookViewId="0">
      <selection activeCell="H16" sqref="H16"/>
    </sheetView>
  </sheetViews>
  <sheetFormatPr defaultColWidth="9" defaultRowHeight="18.75" outlineLevelCol="7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1" t="s">
        <v>98</v>
      </c>
      <c r="B1" s="2"/>
      <c r="C1" s="3"/>
      <c r="D1" s="4"/>
      <c r="E1" s="3"/>
      <c r="F1" s="4"/>
      <c r="G1" s="3"/>
      <c r="H1" s="4"/>
    </row>
    <row r="2" spans="1:8">
      <c r="A2" s="5"/>
      <c r="B2" s="3"/>
      <c r="C2" s="3"/>
      <c r="D2" s="4"/>
      <c r="E2" s="3"/>
      <c r="F2" s="4"/>
      <c r="G2" s="3"/>
      <c r="H2" s="4"/>
    </row>
    <row r="3" spans="1:8">
      <c r="A3" s="6" t="s">
        <v>99</v>
      </c>
      <c r="B3" s="6" t="s">
        <v>0</v>
      </c>
      <c r="C3" s="6" t="s">
        <v>100</v>
      </c>
      <c r="D3" s="7" t="s">
        <v>101</v>
      </c>
      <c r="E3" s="6" t="s">
        <v>102</v>
      </c>
      <c r="F3" s="7" t="s">
        <v>101</v>
      </c>
      <c r="G3" s="6" t="s">
        <v>103</v>
      </c>
      <c r="H3" s="7" t="s">
        <v>101</v>
      </c>
    </row>
    <row r="4" spans="1:8">
      <c r="A4" s="8" t="s">
        <v>104</v>
      </c>
      <c r="B4" s="8" t="s">
        <v>105</v>
      </c>
      <c r="C4" s="8" t="s">
        <v>106</v>
      </c>
      <c r="D4" s="9"/>
      <c r="E4" s="8"/>
      <c r="F4" s="9"/>
      <c r="G4" s="8"/>
      <c r="H4" s="10"/>
    </row>
    <row r="5" spans="1:8">
      <c r="A5" s="8" t="s">
        <v>104</v>
      </c>
      <c r="B5" s="8"/>
      <c r="C5" s="8"/>
      <c r="D5" s="10"/>
      <c r="E5" s="8"/>
      <c r="F5" s="11"/>
      <c r="G5" s="8"/>
      <c r="H5" s="11"/>
    </row>
    <row r="6" spans="1:8">
      <c r="A6" s="8" t="s">
        <v>104</v>
      </c>
      <c r="B6" s="8"/>
      <c r="C6" s="8"/>
      <c r="D6" s="11"/>
      <c r="E6" s="8"/>
      <c r="F6" s="11"/>
      <c r="G6" s="8"/>
      <c r="H6" s="11"/>
    </row>
    <row r="7" spans="1:8">
      <c r="A7" s="8" t="s">
        <v>104</v>
      </c>
      <c r="B7" s="8"/>
      <c r="C7" s="8"/>
      <c r="D7" s="11"/>
      <c r="E7" s="8"/>
      <c r="F7" s="11"/>
      <c r="G7" s="8"/>
      <c r="H7" s="11"/>
    </row>
    <row r="8" spans="1:8">
      <c r="A8" s="8" t="s">
        <v>104</v>
      </c>
      <c r="B8" s="8"/>
      <c r="C8" s="8"/>
      <c r="D8" s="11"/>
      <c r="E8" s="8"/>
      <c r="F8" s="11"/>
      <c r="G8" s="8"/>
      <c r="H8" s="11"/>
    </row>
    <row r="9" spans="1:8">
      <c r="A9" s="8" t="s">
        <v>104</v>
      </c>
      <c r="B9" s="8"/>
      <c r="C9" s="8"/>
      <c r="D9" s="11"/>
      <c r="E9" s="8"/>
      <c r="F9" s="11"/>
      <c r="G9" s="8"/>
      <c r="H9" s="11"/>
    </row>
    <row r="10" spans="1:8">
      <c r="A10" s="8" t="s">
        <v>104</v>
      </c>
      <c r="B10" s="8"/>
      <c r="C10" s="8"/>
      <c r="D10" s="11"/>
      <c r="E10" s="8"/>
      <c r="F10" s="11"/>
      <c r="G10" s="8"/>
      <c r="H10" s="11"/>
    </row>
    <row r="11" spans="1:8">
      <c r="A11" s="8" t="s">
        <v>104</v>
      </c>
      <c r="B11" s="8"/>
      <c r="C11" s="8"/>
      <c r="D11" s="11"/>
      <c r="E11" s="8"/>
      <c r="F11" s="11"/>
      <c r="G11" s="8"/>
      <c r="H11" s="11"/>
    </row>
    <row r="12" spans="1:8">
      <c r="A12" s="5"/>
      <c r="B12" s="3"/>
      <c r="C12" s="3"/>
      <c r="D12" s="4"/>
      <c r="E12" s="3"/>
      <c r="F12" s="4"/>
      <c r="G12" s="3"/>
      <c r="H12" s="4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笹田喬志</cp:lastModifiedBy>
  <dcterms:created xsi:type="dcterms:W3CDTF">2020-09-18T03:10:00Z</dcterms:created>
  <dcterms:modified xsi:type="dcterms:W3CDTF">2023-11-20T20:48:00Z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